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morgan gc\Desktop\EmVisage\Morgan\Statistique\Excel\Excel payant\"/>
    </mc:Choice>
  </mc:AlternateContent>
  <xr:revisionPtr revIDLastSave="0" documentId="13_ncr:1_{8F6E2CA7-2236-4621-8B63-44A4A00DBF5A}" xr6:coauthVersionLast="47" xr6:coauthVersionMax="47" xr10:uidLastSave="{00000000-0000-0000-0000-000000000000}"/>
  <bookViews>
    <workbookView xWindow="-120" yWindow="-120" windowWidth="29040" windowHeight="15720" tabRatio="828" xr2:uid="{00000000-000D-0000-FFFF-FFFF00000000}"/>
  </bookViews>
  <sheets>
    <sheet name="1F5N" sheetId="1" r:id="rId1"/>
    <sheet name="Récapitulatif" sheetId="9" state="hidden" r:id="rId2"/>
    <sheet name="Graph Profil" sheetId="10" state="hidden" r:id="rId3"/>
    <sheet name="80%" sheetId="11" state="hidden" r:id="rId4"/>
    <sheet name="90%" sheetId="12" state="hidden" r:id="rId5"/>
    <sheet name="100%" sheetId="13" state="hidden" r:id="rId6"/>
    <sheet name="110%" sheetId="14" state="hidden" r:id="rId7"/>
    <sheet name="120%" sheetId="15" state="hidden" r:id="rId8"/>
  </sheets>
  <definedNames>
    <definedName name="__123Graph_A" hidden="1">#REF!</definedName>
    <definedName name="__123Graph_ARG" hidden="1">#REF!</definedName>
    <definedName name="__123Graph_B" hidden="1">#REF!</definedName>
    <definedName name="__123Graph_BRG" hidden="1">#REF!</definedName>
    <definedName name="__123Graph_C" hidden="1">#REF!</definedName>
    <definedName name="__123Graph_CRG" hidden="1">#REF!</definedName>
    <definedName name="__123Graph_X" hidden="1">#REF!</definedName>
    <definedName name="__123Graph_XRG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NALYTES">#REF!</definedName>
    <definedName name="_xlnm.Print_Area" localSheetId="3">'80%'!$A$1:$I$40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J5" i="1"/>
  <c r="K5" i="1"/>
  <c r="L5" i="1"/>
  <c r="I6" i="1"/>
  <c r="J6" i="1"/>
  <c r="K6" i="1"/>
  <c r="L6" i="1"/>
  <c r="I7" i="1"/>
  <c r="J7" i="1"/>
  <c r="K7" i="1"/>
  <c r="L7" i="1"/>
  <c r="I8" i="1"/>
  <c r="J8" i="1"/>
  <c r="K8" i="1"/>
  <c r="L8" i="1"/>
  <c r="I9" i="1"/>
  <c r="J9" i="1"/>
  <c r="K9" i="1"/>
  <c r="L9" i="1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H6" i="1"/>
  <c r="H7" i="1"/>
  <c r="H8" i="1"/>
  <c r="H9" i="1"/>
  <c r="H10" i="1"/>
  <c r="H11" i="1"/>
  <c r="H12" i="1"/>
  <c r="H13" i="1"/>
  <c r="H14" i="1"/>
  <c r="H5" i="1"/>
  <c r="AC9" i="1" l="1"/>
  <c r="AA9" i="1"/>
  <c r="AB9" i="1" l="1"/>
  <c r="L15" i="1"/>
  <c r="AC10" i="1" s="1"/>
  <c r="H15" i="1" l="1"/>
  <c r="K15" i="1"/>
  <c r="AB10" i="1" s="1"/>
  <c r="Z9" i="1" l="1"/>
  <c r="Y9" i="1"/>
  <c r="Q12" i="1"/>
  <c r="Q11" i="1"/>
  <c r="Q8" i="1"/>
  <c r="R47" i="1"/>
  <c r="I15" i="1"/>
  <c r="Z10" i="1" s="1"/>
  <c r="J15" i="1"/>
  <c r="AA10" i="1" s="1"/>
  <c r="Y10" i="1"/>
  <c r="R46" i="1"/>
  <c r="G36" i="1"/>
  <c r="E36" i="1"/>
  <c r="D36" i="1"/>
  <c r="H36" i="1" s="1"/>
  <c r="D39" i="1"/>
  <c r="H39" i="1" s="1"/>
  <c r="E39" i="1"/>
  <c r="Q37" i="1" l="1"/>
  <c r="Q36" i="1"/>
  <c r="H37" i="1"/>
  <c r="H38" i="1" s="1"/>
  <c r="C39" i="1"/>
  <c r="F39" i="1" l="1"/>
  <c r="F36" i="1"/>
  <c r="C3" i="9"/>
  <c r="C2" i="9"/>
  <c r="G39" i="1" l="1"/>
  <c r="G6" i="9"/>
  <c r="F6" i="9"/>
  <c r="E6" i="9"/>
  <c r="D6" i="9"/>
  <c r="C6" i="9"/>
  <c r="I9" i="14"/>
  <c r="I7" i="12"/>
  <c r="B33" i="15"/>
  <c r="B33" i="14"/>
  <c r="B33" i="13"/>
  <c r="I8" i="13"/>
  <c r="B33" i="12"/>
  <c r="B33" i="11"/>
  <c r="G21" i="9"/>
  <c r="F21" i="9"/>
  <c r="E21" i="9"/>
  <c r="D21" i="9"/>
  <c r="C21" i="9"/>
  <c r="G20" i="9"/>
  <c r="F20" i="9"/>
  <c r="E20" i="9"/>
  <c r="D20" i="9"/>
  <c r="C20" i="9"/>
  <c r="F3" i="9"/>
  <c r="K7" i="9"/>
  <c r="G37" i="1" l="1"/>
  <c r="G38" i="1" s="1"/>
  <c r="C8" i="11"/>
  <c r="C8" i="15"/>
  <c r="C8" i="14"/>
  <c r="C5" i="11"/>
  <c r="B8" i="11" l="1"/>
  <c r="H8" i="11" s="1"/>
  <c r="I8" i="11" s="1"/>
  <c r="B8" i="15"/>
  <c r="H8" i="15" s="1"/>
  <c r="I8" i="15" s="1"/>
  <c r="B8" i="14"/>
  <c r="H8" i="14" s="1"/>
  <c r="I8" i="14" s="1"/>
  <c r="C9" i="15"/>
  <c r="B9" i="15"/>
  <c r="C9" i="13"/>
  <c r="B9" i="13"/>
  <c r="C9" i="12"/>
  <c r="B9" i="12"/>
  <c r="C9" i="11"/>
  <c r="B9" i="11"/>
  <c r="C8" i="12"/>
  <c r="B8" i="12"/>
  <c r="C7" i="15"/>
  <c r="B7" i="15"/>
  <c r="C7" i="14"/>
  <c r="B7" i="14"/>
  <c r="C7" i="13"/>
  <c r="B7" i="13"/>
  <c r="C7" i="11"/>
  <c r="B7" i="11"/>
  <c r="C6" i="15"/>
  <c r="B6" i="15"/>
  <c r="C6" i="14"/>
  <c r="B6" i="14"/>
  <c r="C6" i="13"/>
  <c r="B6" i="13"/>
  <c r="C6" i="12"/>
  <c r="B6" i="12"/>
  <c r="C5" i="14"/>
  <c r="B5" i="14"/>
  <c r="C5" i="13"/>
  <c r="B5" i="13"/>
  <c r="C5" i="12"/>
  <c r="B5" i="12"/>
  <c r="B5" i="11"/>
  <c r="I37" i="1" l="1"/>
  <c r="B11" i="11"/>
  <c r="B12" i="11"/>
  <c r="H7" i="15"/>
  <c r="I7" i="15" s="1"/>
  <c r="H9" i="15"/>
  <c r="I9" i="15" s="1"/>
  <c r="B11" i="15"/>
  <c r="B15" i="15"/>
  <c r="B12" i="15"/>
  <c r="H6" i="15"/>
  <c r="B22" i="15"/>
  <c r="G7" i="9" s="1"/>
  <c r="H7" i="14"/>
  <c r="I7" i="14" s="1"/>
  <c r="H6" i="14"/>
  <c r="I6" i="14" s="1"/>
  <c r="B12" i="14"/>
  <c r="B15" i="14"/>
  <c r="B11" i="14"/>
  <c r="H5" i="14"/>
  <c r="B22" i="14"/>
  <c r="H6" i="13"/>
  <c r="I6" i="13" s="1"/>
  <c r="H7" i="13"/>
  <c r="I7" i="13" s="1"/>
  <c r="H9" i="13"/>
  <c r="I9" i="13" s="1"/>
  <c r="B15" i="13"/>
  <c r="B11" i="13"/>
  <c r="B12" i="13"/>
  <c r="H5" i="13"/>
  <c r="B22" i="13"/>
  <c r="E7" i="9" s="1"/>
  <c r="H6" i="12"/>
  <c r="I6" i="12" s="1"/>
  <c r="H7" i="11"/>
  <c r="I7" i="11" s="1"/>
  <c r="H8" i="12"/>
  <c r="I8" i="12" s="1"/>
  <c r="H9" i="11"/>
  <c r="I9" i="11" s="1"/>
  <c r="H9" i="12"/>
  <c r="I9" i="12" s="1"/>
  <c r="B12" i="12"/>
  <c r="H5" i="12"/>
  <c r="B22" i="12"/>
  <c r="D7" i="9" s="1"/>
  <c r="B15" i="12"/>
  <c r="B11" i="12"/>
  <c r="H5" i="11"/>
  <c r="B15" i="11"/>
  <c r="B22" i="11"/>
  <c r="C7" i="9" s="1"/>
  <c r="G17" i="9" l="1"/>
  <c r="F7" i="9"/>
  <c r="F17" i="9" s="1"/>
  <c r="I6" i="15"/>
  <c r="B14" i="15" s="1"/>
  <c r="B18" i="15" s="1"/>
  <c r="B23" i="15" s="1"/>
  <c r="G8" i="9" s="1"/>
  <c r="B13" i="15"/>
  <c r="B13" i="11"/>
  <c r="B27" i="15"/>
  <c r="G16" i="9" s="1"/>
  <c r="B13" i="14"/>
  <c r="I5" i="14"/>
  <c r="B14" i="14" s="1"/>
  <c r="B18" i="14" s="1"/>
  <c r="B27" i="14"/>
  <c r="F16" i="9" s="1"/>
  <c r="E17" i="9"/>
  <c r="B13" i="13"/>
  <c r="I5" i="13"/>
  <c r="B14" i="13" s="1"/>
  <c r="B18" i="13" s="1"/>
  <c r="B27" i="13"/>
  <c r="E16" i="9" s="1"/>
  <c r="D17" i="9"/>
  <c r="B27" i="12"/>
  <c r="D16" i="9" s="1"/>
  <c r="I5" i="12"/>
  <c r="B14" i="12" s="1"/>
  <c r="B18" i="12" s="1"/>
  <c r="B13" i="12"/>
  <c r="C17" i="9"/>
  <c r="I5" i="11"/>
  <c r="B14" i="11" s="1"/>
  <c r="B18" i="11" s="1"/>
  <c r="B27" i="11"/>
  <c r="C16" i="9" s="1"/>
  <c r="B16" i="15" l="1"/>
  <c r="B16" i="14"/>
  <c r="B17" i="14" s="1"/>
  <c r="B19" i="14" s="1"/>
  <c r="B20" i="14" s="1"/>
  <c r="B25" i="14" s="1"/>
  <c r="F10" i="9" s="1"/>
  <c r="B23" i="14"/>
  <c r="F8" i="9" s="1"/>
  <c r="B16" i="13"/>
  <c r="B17" i="13" s="1"/>
  <c r="B19" i="13" s="1"/>
  <c r="B24" i="13" s="1"/>
  <c r="E9" i="9" s="1"/>
  <c r="B23" i="13"/>
  <c r="E8" i="9" s="1"/>
  <c r="B23" i="12"/>
  <c r="D8" i="9" s="1"/>
  <c r="B16" i="12"/>
  <c r="B17" i="12" s="1"/>
  <c r="B19" i="12" s="1"/>
  <c r="B23" i="11"/>
  <c r="C8" i="9" s="1"/>
  <c r="B16" i="11"/>
  <c r="B17" i="11" s="1"/>
  <c r="B19" i="11" s="1"/>
  <c r="B20" i="11" s="1"/>
  <c r="B25" i="11" s="1"/>
  <c r="C10" i="9" s="1"/>
  <c r="B17" i="15" l="1"/>
  <c r="B19" i="15" s="1"/>
  <c r="B24" i="14"/>
  <c r="F9" i="9" s="1"/>
  <c r="B29" i="14"/>
  <c r="F11" i="9" s="1"/>
  <c r="B20" i="13"/>
  <c r="B25" i="13" s="1"/>
  <c r="E10" i="9" s="1"/>
  <c r="B29" i="13"/>
  <c r="B29" i="12"/>
  <c r="D11" i="9" s="1"/>
  <c r="B24" i="12"/>
  <c r="D9" i="9" s="1"/>
  <c r="B20" i="12"/>
  <c r="B25" i="12" s="1"/>
  <c r="D10" i="9" s="1"/>
  <c r="B24" i="11"/>
  <c r="C9" i="9" s="1"/>
  <c r="B29" i="11"/>
  <c r="C11" i="9" s="1"/>
  <c r="B32" i="13" l="1"/>
  <c r="E13" i="9" s="1"/>
  <c r="E11" i="9"/>
  <c r="B24" i="15"/>
  <c r="G9" i="9" s="1"/>
  <c r="B20" i="15"/>
  <c r="B25" i="15" s="1"/>
  <c r="G10" i="9" s="1"/>
  <c r="B29" i="15"/>
  <c r="G11" i="9" s="1"/>
  <c r="B32" i="14"/>
  <c r="F13" i="9" s="1"/>
  <c r="B30" i="14"/>
  <c r="B31" i="14" s="1"/>
  <c r="F12" i="9" s="1"/>
  <c r="F28" i="9" s="1"/>
  <c r="F29" i="9" s="1"/>
  <c r="B30" i="13"/>
  <c r="B31" i="13" s="1"/>
  <c r="E12" i="9" s="1"/>
  <c r="B32" i="12"/>
  <c r="D13" i="9" s="1"/>
  <c r="B30" i="12"/>
  <c r="B31" i="12" s="1"/>
  <c r="D12" i="9" s="1"/>
  <c r="B30" i="11"/>
  <c r="B31" i="11" s="1"/>
  <c r="C12" i="9" s="1"/>
  <c r="B32" i="11"/>
  <c r="C13" i="9" s="1"/>
  <c r="B34" i="13" l="1"/>
  <c r="B35" i="13"/>
  <c r="B30" i="15"/>
  <c r="B31" i="15" s="1"/>
  <c r="G12" i="9" s="1"/>
  <c r="G28" i="9" s="1"/>
  <c r="G29" i="9" s="1"/>
  <c r="B32" i="15"/>
  <c r="G13" i="9" s="1"/>
  <c r="B34" i="14"/>
  <c r="B35" i="14"/>
  <c r="E28" i="9"/>
  <c r="E29" i="9" s="1"/>
  <c r="D28" i="9"/>
  <c r="D29" i="9" s="1"/>
  <c r="B34" i="12"/>
  <c r="B35" i="12"/>
  <c r="C28" i="9"/>
  <c r="C29" i="9" s="1"/>
  <c r="B34" i="11"/>
  <c r="B35" i="11"/>
  <c r="B36" i="13" l="1"/>
  <c r="B37" i="13" s="1"/>
  <c r="B40" i="13" s="1"/>
  <c r="E15" i="9" s="1"/>
  <c r="E19" i="9" s="1"/>
  <c r="B35" i="15"/>
  <c r="B34" i="15"/>
  <c r="B36" i="14"/>
  <c r="B37" i="14" s="1"/>
  <c r="B36" i="12"/>
  <c r="B37" i="12" s="1"/>
  <c r="B40" i="12" s="1"/>
  <c r="D15" i="9" s="1"/>
  <c r="B36" i="11"/>
  <c r="B37" i="11" s="1"/>
  <c r="B39" i="13" l="1"/>
  <c r="E14" i="9" s="1"/>
  <c r="E18" i="9" s="1"/>
  <c r="B36" i="15"/>
  <c r="B37" i="15" s="1"/>
  <c r="B39" i="15" s="1"/>
  <c r="G14" i="9" s="1"/>
  <c r="G18" i="9" s="1"/>
  <c r="B39" i="14"/>
  <c r="F14" i="9" s="1"/>
  <c r="F18" i="9" s="1"/>
  <c r="B40" i="14"/>
  <c r="F15" i="9" s="1"/>
  <c r="F19" i="9" s="1"/>
  <c r="B39" i="12"/>
  <c r="D14" i="9" s="1"/>
  <c r="D19" i="9"/>
  <c r="B40" i="11"/>
  <c r="C15" i="9" s="1"/>
  <c r="B39" i="11"/>
  <c r="C14" i="9" s="1"/>
  <c r="B40" i="15" l="1"/>
  <c r="G15" i="9" s="1"/>
  <c r="G19" i="9" s="1"/>
  <c r="D18" i="9"/>
  <c r="C18" i="9"/>
  <c r="C19" i="9"/>
  <c r="R6" i="1" l="1"/>
  <c r="R5" i="1"/>
  <c r="P43" i="1" l="1"/>
  <c r="N13" i="1" l="1"/>
  <c r="N14" i="1"/>
  <c r="K37" i="1" l="1"/>
  <c r="I36" i="1" l="1"/>
  <c r="K39" i="1"/>
  <c r="I39" i="1"/>
  <c r="Q9" i="1" l="1"/>
  <c r="W11" i="1" s="1"/>
  <c r="L39" i="1"/>
  <c r="Y11" i="1" l="1"/>
  <c r="Z11" i="1"/>
  <c r="AA11" i="1"/>
  <c r="AB11" i="1"/>
  <c r="AC11" i="1"/>
  <c r="X11" i="1"/>
  <c r="Q10" i="1"/>
  <c r="W33" i="1"/>
  <c r="W12" i="1"/>
  <c r="W14" i="1"/>
  <c r="W52" i="1"/>
  <c r="W27" i="1"/>
  <c r="W59" i="1"/>
  <c r="W49" i="1"/>
  <c r="W40" i="1"/>
  <c r="W60" i="1"/>
  <c r="W35" i="1"/>
  <c r="W21" i="1"/>
  <c r="W45" i="1"/>
  <c r="W38" i="1"/>
  <c r="W62" i="1"/>
  <c r="W36" i="1"/>
  <c r="W32" i="1"/>
  <c r="W23" i="1"/>
  <c r="W37" i="1"/>
  <c r="W53" i="1"/>
  <c r="Q44" i="1"/>
  <c r="W51" i="1"/>
  <c r="W54" i="1"/>
  <c r="W56" i="1"/>
  <c r="W55" i="1"/>
  <c r="W28" i="1"/>
  <c r="W17" i="1"/>
  <c r="W25" i="1"/>
  <c r="W43" i="1"/>
  <c r="W67" i="1"/>
  <c r="W30" i="1"/>
  <c r="W46" i="1"/>
  <c r="W16" i="1"/>
  <c r="W29" i="1"/>
  <c r="W18" i="1"/>
  <c r="W44" i="1"/>
  <c r="W69" i="1"/>
  <c r="W65" i="1"/>
  <c r="W19" i="1"/>
  <c r="W34" i="1"/>
  <c r="W42" i="1"/>
  <c r="W22" i="1"/>
  <c r="W70" i="1"/>
  <c r="W24" i="1"/>
  <c r="W61" i="1"/>
  <c r="W50" i="1"/>
  <c r="W57" i="1"/>
  <c r="W48" i="1"/>
  <c r="W64" i="1"/>
  <c r="W13" i="1"/>
  <c r="W15" i="1"/>
  <c r="W41" i="1"/>
  <c r="W20" i="1"/>
  <c r="W63" i="1"/>
  <c r="W31" i="1"/>
  <c r="W58" i="1"/>
  <c r="W66" i="1"/>
  <c r="W71" i="1"/>
  <c r="W39" i="1"/>
  <c r="W47" i="1"/>
  <c r="W68" i="1"/>
  <c r="W26" i="1"/>
  <c r="Q13" i="1"/>
  <c r="L37" i="1"/>
  <c r="D41" i="1" s="1"/>
  <c r="Z26" i="1" l="1"/>
  <c r="AA26" i="1"/>
  <c r="AC26" i="1"/>
  <c r="AB26" i="1"/>
  <c r="Z71" i="1"/>
  <c r="AA71" i="1"/>
  <c r="AB71" i="1"/>
  <c r="AC71" i="1"/>
  <c r="Z63" i="1"/>
  <c r="AC63" i="1"/>
  <c r="AA63" i="1"/>
  <c r="AB63" i="1"/>
  <c r="Y13" i="1"/>
  <c r="Z13" i="1"/>
  <c r="AA13" i="1"/>
  <c r="AC13" i="1"/>
  <c r="AB13" i="1"/>
  <c r="Z50" i="1"/>
  <c r="AC50" i="1"/>
  <c r="AA50" i="1"/>
  <c r="AB50" i="1"/>
  <c r="Z22" i="1"/>
  <c r="AC22" i="1"/>
  <c r="AA22" i="1"/>
  <c r="AB22" i="1"/>
  <c r="Z65" i="1"/>
  <c r="AA65" i="1"/>
  <c r="AB65" i="1"/>
  <c r="AC65" i="1"/>
  <c r="Z29" i="1"/>
  <c r="AA29" i="1"/>
  <c r="AC29" i="1"/>
  <c r="AB29" i="1"/>
  <c r="Z67" i="1"/>
  <c r="AA67" i="1"/>
  <c r="AC67" i="1"/>
  <c r="AB67" i="1"/>
  <c r="Z28" i="1"/>
  <c r="AC28" i="1"/>
  <c r="AA28" i="1"/>
  <c r="AB28" i="1"/>
  <c r="Z51" i="1"/>
  <c r="AA51" i="1"/>
  <c r="AB51" i="1"/>
  <c r="AC51" i="1"/>
  <c r="Z23" i="1"/>
  <c r="AA23" i="1"/>
  <c r="AC23" i="1"/>
  <c r="AB23" i="1"/>
  <c r="Z38" i="1"/>
  <c r="AC38" i="1"/>
  <c r="AA38" i="1"/>
  <c r="AB38" i="1"/>
  <c r="Z60" i="1"/>
  <c r="AA60" i="1"/>
  <c r="AB60" i="1"/>
  <c r="AC60" i="1"/>
  <c r="Z27" i="1"/>
  <c r="AA27" i="1"/>
  <c r="AB27" i="1"/>
  <c r="AC27" i="1"/>
  <c r="Z33" i="1"/>
  <c r="AA33" i="1"/>
  <c r="AC33" i="1"/>
  <c r="AB33" i="1"/>
  <c r="Z68" i="1"/>
  <c r="AA68" i="1"/>
  <c r="AB68" i="1"/>
  <c r="AC68" i="1"/>
  <c r="Z66" i="1"/>
  <c r="AC66" i="1"/>
  <c r="AA66" i="1"/>
  <c r="AB66" i="1"/>
  <c r="Z20" i="1"/>
  <c r="AA20" i="1"/>
  <c r="AC20" i="1"/>
  <c r="AB20" i="1"/>
  <c r="Z64" i="1"/>
  <c r="AA64" i="1"/>
  <c r="AC64" i="1"/>
  <c r="AB64" i="1"/>
  <c r="Z61" i="1"/>
  <c r="AA61" i="1"/>
  <c r="AC61" i="1"/>
  <c r="AB61" i="1"/>
  <c r="Z42" i="1"/>
  <c r="AA42" i="1"/>
  <c r="AB42" i="1"/>
  <c r="AC42" i="1"/>
  <c r="Z69" i="1"/>
  <c r="AC69" i="1"/>
  <c r="AA69" i="1"/>
  <c r="AB69" i="1"/>
  <c r="Z16" i="1"/>
  <c r="AC16" i="1"/>
  <c r="AA16" i="1"/>
  <c r="AB16" i="1"/>
  <c r="Z43" i="1"/>
  <c r="AA43" i="1"/>
  <c r="AC43" i="1"/>
  <c r="AB43" i="1"/>
  <c r="Z55" i="1"/>
  <c r="AA55" i="1"/>
  <c r="AC55" i="1"/>
  <c r="AB55" i="1"/>
  <c r="Z32" i="1"/>
  <c r="AA32" i="1"/>
  <c r="AB32" i="1"/>
  <c r="AC32" i="1"/>
  <c r="Z45" i="1"/>
  <c r="AA45" i="1"/>
  <c r="AB45" i="1"/>
  <c r="AC45" i="1"/>
  <c r="Z40" i="1"/>
  <c r="AA40" i="1"/>
  <c r="AB40" i="1"/>
  <c r="AC40" i="1"/>
  <c r="Z52" i="1"/>
  <c r="AA52" i="1"/>
  <c r="AC52" i="1"/>
  <c r="AB52" i="1"/>
  <c r="Z47" i="1"/>
  <c r="AC47" i="1"/>
  <c r="AA47" i="1"/>
  <c r="AB47" i="1"/>
  <c r="Z58" i="1"/>
  <c r="AA58" i="1"/>
  <c r="AC58" i="1"/>
  <c r="AB58" i="1"/>
  <c r="Z41" i="1"/>
  <c r="AC41" i="1"/>
  <c r="AA41" i="1"/>
  <c r="AB41" i="1"/>
  <c r="Z48" i="1"/>
  <c r="AA48" i="1"/>
  <c r="AB48" i="1"/>
  <c r="AC48" i="1"/>
  <c r="Z24" i="1"/>
  <c r="AA24" i="1"/>
  <c r="AB24" i="1"/>
  <c r="AC24" i="1"/>
  <c r="Z34" i="1"/>
  <c r="AC34" i="1"/>
  <c r="AA34" i="1"/>
  <c r="AB34" i="1"/>
  <c r="Z44" i="1"/>
  <c r="AC44" i="1"/>
  <c r="AA44" i="1"/>
  <c r="AB44" i="1"/>
  <c r="Z46" i="1"/>
  <c r="AA46" i="1"/>
  <c r="AC46" i="1"/>
  <c r="AB46" i="1"/>
  <c r="Z25" i="1"/>
  <c r="AC25" i="1"/>
  <c r="AA25" i="1"/>
  <c r="AB25" i="1"/>
  <c r="Z56" i="1"/>
  <c r="AC56" i="1"/>
  <c r="AA56" i="1"/>
  <c r="AB56" i="1"/>
  <c r="Z53" i="1"/>
  <c r="AC53" i="1"/>
  <c r="AA53" i="1"/>
  <c r="AB53" i="1"/>
  <c r="Z36" i="1"/>
  <c r="AA36" i="1"/>
  <c r="AC36" i="1"/>
  <c r="AB36" i="1"/>
  <c r="Z21" i="1"/>
  <c r="AA21" i="1"/>
  <c r="AB21" i="1"/>
  <c r="AC21" i="1"/>
  <c r="Z49" i="1"/>
  <c r="AA49" i="1"/>
  <c r="AC49" i="1"/>
  <c r="AB49" i="1"/>
  <c r="Z14" i="1"/>
  <c r="AA14" i="1"/>
  <c r="AC14" i="1"/>
  <c r="AB14" i="1"/>
  <c r="Z39" i="1"/>
  <c r="AA39" i="1"/>
  <c r="AC39" i="1"/>
  <c r="AB39" i="1"/>
  <c r="Z31" i="1"/>
  <c r="AC31" i="1"/>
  <c r="AA31" i="1"/>
  <c r="AB31" i="1"/>
  <c r="Z15" i="1"/>
  <c r="AA15" i="1"/>
  <c r="AC15" i="1"/>
  <c r="AB15" i="1"/>
  <c r="Z57" i="1"/>
  <c r="AA57" i="1"/>
  <c r="AB57" i="1"/>
  <c r="AC57" i="1"/>
  <c r="Z70" i="1"/>
  <c r="AA70" i="1"/>
  <c r="AC70" i="1"/>
  <c r="AB70" i="1"/>
  <c r="Z19" i="1"/>
  <c r="AC19" i="1"/>
  <c r="AA19" i="1"/>
  <c r="AB19" i="1"/>
  <c r="Z18" i="1"/>
  <c r="AA18" i="1"/>
  <c r="AB18" i="1"/>
  <c r="AC18" i="1"/>
  <c r="Z30" i="1"/>
  <c r="AA30" i="1"/>
  <c r="AB30" i="1"/>
  <c r="AC30" i="1"/>
  <c r="Z17" i="1"/>
  <c r="AA17" i="1"/>
  <c r="AC17" i="1"/>
  <c r="AB17" i="1"/>
  <c r="Z54" i="1"/>
  <c r="AA54" i="1"/>
  <c r="AB54" i="1"/>
  <c r="AC54" i="1"/>
  <c r="Z37" i="1"/>
  <c r="AA37" i="1"/>
  <c r="AB37" i="1"/>
  <c r="AC37" i="1"/>
  <c r="Z62" i="1"/>
  <c r="AA62" i="1"/>
  <c r="AB62" i="1"/>
  <c r="AC62" i="1"/>
  <c r="Z35" i="1"/>
  <c r="AA35" i="1"/>
  <c r="AB35" i="1"/>
  <c r="AC35" i="1"/>
  <c r="Z59" i="1"/>
  <c r="AC59" i="1"/>
  <c r="AA59" i="1"/>
  <c r="AB59" i="1"/>
  <c r="Y12" i="1"/>
  <c r="Z12" i="1"/>
  <c r="AC12" i="1"/>
  <c r="AA12" i="1"/>
  <c r="AB12" i="1"/>
  <c r="X39" i="1"/>
  <c r="Y39" i="1"/>
  <c r="X15" i="1"/>
  <c r="Y15" i="1"/>
  <c r="X18" i="1"/>
  <c r="Y18" i="1"/>
  <c r="X71" i="1"/>
  <c r="Y71" i="1"/>
  <c r="X63" i="1"/>
  <c r="Y63" i="1"/>
  <c r="X50" i="1"/>
  <c r="Y50" i="1"/>
  <c r="X22" i="1"/>
  <c r="Y22" i="1"/>
  <c r="X65" i="1"/>
  <c r="Y65" i="1"/>
  <c r="X29" i="1"/>
  <c r="Y29" i="1"/>
  <c r="X67" i="1"/>
  <c r="Y67" i="1"/>
  <c r="X28" i="1"/>
  <c r="Y28" i="1"/>
  <c r="X51" i="1"/>
  <c r="Y51" i="1"/>
  <c r="X23" i="1"/>
  <c r="Y23" i="1"/>
  <c r="X38" i="1"/>
  <c r="Y38" i="1"/>
  <c r="X60" i="1"/>
  <c r="Y60" i="1"/>
  <c r="X27" i="1"/>
  <c r="Y27" i="1"/>
  <c r="X33" i="1"/>
  <c r="Y33" i="1"/>
  <c r="X32" i="1"/>
  <c r="Y32" i="1"/>
  <c r="X45" i="1"/>
  <c r="Y45" i="1"/>
  <c r="X40" i="1"/>
  <c r="Y40" i="1"/>
  <c r="X52" i="1"/>
  <c r="Y52" i="1"/>
  <c r="X31" i="1"/>
  <c r="Y31" i="1"/>
  <c r="X57" i="1"/>
  <c r="Y57" i="1"/>
  <c r="X70" i="1"/>
  <c r="Y70" i="1"/>
  <c r="X19" i="1"/>
  <c r="Y19" i="1"/>
  <c r="X30" i="1"/>
  <c r="Y30" i="1"/>
  <c r="X17" i="1"/>
  <c r="Y17" i="1"/>
  <c r="X54" i="1"/>
  <c r="Y54" i="1"/>
  <c r="X37" i="1"/>
  <c r="Y37" i="1"/>
  <c r="X62" i="1"/>
  <c r="Y62" i="1"/>
  <c r="X35" i="1"/>
  <c r="Y35" i="1"/>
  <c r="X59" i="1"/>
  <c r="Y59" i="1"/>
  <c r="X26" i="1"/>
  <c r="Y26" i="1"/>
  <c r="X68" i="1"/>
  <c r="Y68" i="1"/>
  <c r="X66" i="1"/>
  <c r="Y66" i="1"/>
  <c r="X20" i="1"/>
  <c r="Y20" i="1"/>
  <c r="X64" i="1"/>
  <c r="Y64" i="1"/>
  <c r="X61" i="1"/>
  <c r="Y61" i="1"/>
  <c r="X42" i="1"/>
  <c r="Y42" i="1"/>
  <c r="X69" i="1"/>
  <c r="Y69" i="1"/>
  <c r="X16" i="1"/>
  <c r="Y16" i="1"/>
  <c r="X43" i="1"/>
  <c r="Y43" i="1"/>
  <c r="X55" i="1"/>
  <c r="Y55" i="1"/>
  <c r="X47" i="1"/>
  <c r="Y47" i="1"/>
  <c r="X58" i="1"/>
  <c r="Y58" i="1"/>
  <c r="X41" i="1"/>
  <c r="Y41" i="1"/>
  <c r="X48" i="1"/>
  <c r="Y48" i="1"/>
  <c r="X24" i="1"/>
  <c r="Y24" i="1"/>
  <c r="X34" i="1"/>
  <c r="Y34" i="1"/>
  <c r="X44" i="1"/>
  <c r="Y44" i="1"/>
  <c r="X46" i="1"/>
  <c r="Y46" i="1"/>
  <c r="X25" i="1"/>
  <c r="Y25" i="1"/>
  <c r="X56" i="1"/>
  <c r="Y56" i="1"/>
  <c r="X53" i="1"/>
  <c r="Y53" i="1"/>
  <c r="X36" i="1"/>
  <c r="Y36" i="1"/>
  <c r="X21" i="1"/>
  <c r="Y21" i="1"/>
  <c r="X49" i="1"/>
  <c r="Y49" i="1"/>
  <c r="X14" i="1"/>
  <c r="Y14" i="1"/>
  <c r="X13" i="1"/>
  <c r="X12" i="1"/>
  <c r="P44" i="1"/>
  <c r="L38" i="1"/>
  <c r="L36" i="1" s="1"/>
  <c r="I38" i="1"/>
  <c r="D45" i="1" s="1"/>
  <c r="T5" i="1" l="1"/>
  <c r="T6" i="1" s="1"/>
  <c r="L43" i="1"/>
  <c r="M43" i="1" s="1"/>
  <c r="D43" i="1"/>
  <c r="J37" i="1"/>
  <c r="J39" i="1"/>
  <c r="M39" i="1" s="1"/>
  <c r="L44" i="1" l="1"/>
  <c r="M44" i="1" s="1"/>
  <c r="N39" i="1"/>
</calcChain>
</file>

<file path=xl/sharedStrings.xml><?xml version="1.0" encoding="utf-8"?>
<sst xmlns="http://schemas.openxmlformats.org/spreadsheetml/2006/main" count="332" uniqueCount="124">
  <si>
    <t>Origine</t>
  </si>
  <si>
    <t>niveau</t>
  </si>
  <si>
    <t>SCE</t>
  </si>
  <si>
    <t>ddl</t>
  </si>
  <si>
    <t>CM</t>
  </si>
  <si>
    <t>Fobs</t>
  </si>
  <si>
    <t>F5%</t>
  </si>
  <si>
    <t>x</t>
  </si>
  <si>
    <t>SB²</t>
  </si>
  <si>
    <t>CI</t>
  </si>
  <si>
    <t>contrib%</t>
  </si>
  <si>
    <t>Total</t>
  </si>
  <si>
    <t>modèle</t>
  </si>
  <si>
    <t>Tolérance +</t>
  </si>
  <si>
    <t>Tolérance -</t>
  </si>
  <si>
    <t>moyenne</t>
  </si>
  <si>
    <t>Min</t>
  </si>
  <si>
    <t>Max</t>
  </si>
  <si>
    <t>Cpk</t>
  </si>
  <si>
    <t>Niveau A</t>
  </si>
  <si>
    <t>Répétition 1</t>
  </si>
  <si>
    <t>Répétition 2</t>
  </si>
  <si>
    <t>Répétition 3</t>
  </si>
  <si>
    <t>Répétition 4</t>
  </si>
  <si>
    <t>Répétition 5</t>
  </si>
  <si>
    <t>nk</t>
  </si>
  <si>
    <t>SCEk</t>
  </si>
  <si>
    <t>Niveau B</t>
  </si>
  <si>
    <t>Niveau C</t>
  </si>
  <si>
    <t>Niveau D</t>
  </si>
  <si>
    <t>Niveau E</t>
  </si>
  <si>
    <t>Profil d'exactitude</t>
  </si>
  <si>
    <t>Probabilité tolérance (bêta)</t>
  </si>
  <si>
    <t>Limite d'acceptabilité</t>
  </si>
  <si>
    <t>Niveaux</t>
  </si>
  <si>
    <t>Recouvrement (justesse)</t>
  </si>
  <si>
    <t>Limite basse tolérance (%)</t>
  </si>
  <si>
    <t>Limite haute tolérance (%)</t>
  </si>
  <si>
    <t>Limite d'acceptabilité basse</t>
  </si>
  <si>
    <t>Limite d'acceptabilité haute</t>
  </si>
  <si>
    <t>Incertitude</t>
  </si>
  <si>
    <t>Ecart-type de l'IT (sIT)</t>
  </si>
  <si>
    <t>Incertitude élargie relative</t>
  </si>
  <si>
    <t>Valeur cible</t>
  </si>
  <si>
    <t>Moyenne niveau</t>
  </si>
  <si>
    <t>Ecart-type de répétabilité (sr)</t>
  </si>
  <si>
    <t>Ecart-type inter-séries (sL)</t>
  </si>
  <si>
    <t>Ecart-type de fidélité (sFI)</t>
  </si>
  <si>
    <t>Rapport des variances (R)</t>
  </si>
  <si>
    <t>Coefficient intermédiaire</t>
  </si>
  <si>
    <t>Nombre de degrés liberté</t>
  </si>
  <si>
    <t>Valeur basse tolérance</t>
  </si>
  <si>
    <t>Valeur haute tolérance</t>
  </si>
  <si>
    <t>Biais (%)</t>
  </si>
  <si>
    <t>R²</t>
  </si>
  <si>
    <r>
      <t xml:space="preserve">équiv </t>
    </r>
    <r>
      <rPr>
        <sz val="11"/>
        <rFont val="Calibri"/>
        <family val="2"/>
      </rPr>
      <t>β</t>
    </r>
  </si>
  <si>
    <r>
      <t>diff 1-</t>
    </r>
    <r>
      <rPr>
        <sz val="11"/>
        <rFont val="Calibri"/>
        <family val="2"/>
      </rPr>
      <t>β</t>
    </r>
  </si>
  <si>
    <t>étape d'identification</t>
  </si>
  <si>
    <t>ANOVA</t>
  </si>
  <si>
    <t>R²ajusté</t>
  </si>
  <si>
    <t>opérateur</t>
  </si>
  <si>
    <t>Catégorie</t>
  </si>
  <si>
    <t>&lt; expliqué par le modèle (ajusté)</t>
  </si>
  <si>
    <t>&lt; nombre de catégorie détectable par la méthode</t>
  </si>
  <si>
    <t>S² totale</t>
  </si>
  <si>
    <t>S totale</t>
  </si>
  <si>
    <t>version 1</t>
  </si>
  <si>
    <t>X</t>
  </si>
  <si>
    <t>pierre</t>
  </si>
  <si>
    <t>paul</t>
  </si>
  <si>
    <t>jack</t>
  </si>
  <si>
    <t>Facteur qualitatif</t>
  </si>
  <si>
    <t>sophie</t>
  </si>
  <si>
    <t>n</t>
  </si>
  <si>
    <t>marie</t>
  </si>
  <si>
    <t>les n obserations sont réalisées sous condition de</t>
  </si>
  <si>
    <t>répétabilité : même méthode, même sujet, même</t>
  </si>
  <si>
    <t>répéta</t>
  </si>
  <si>
    <t>CV%r</t>
  </si>
  <si>
    <t>CV%Fi</t>
  </si>
  <si>
    <t>Fidélité</t>
  </si>
  <si>
    <t>Justesse</t>
  </si>
  <si>
    <t>biais</t>
  </si>
  <si>
    <t>IC 95%</t>
  </si>
  <si>
    <t>www.methodesdevalidation.com</t>
  </si>
  <si>
    <t>Morgan GERMA</t>
  </si>
  <si>
    <t>IC 95% +</t>
  </si>
  <si>
    <t>Cible</t>
  </si>
  <si>
    <t>Chaque opérateur à le même nombre de résultat</t>
  </si>
  <si>
    <t>Cobs</t>
  </si>
  <si>
    <t>Cochran</t>
  </si>
  <si>
    <t>C 1%</t>
  </si>
  <si>
    <t>k</t>
  </si>
  <si>
    <t>Prérequis</t>
  </si>
  <si>
    <t>Cobs &lt; C 1% = OK</t>
  </si>
  <si>
    <t>&lt;CoeffIcient de détermination : ce qui est expliqué par le modèle</t>
  </si>
  <si>
    <t>Fobs &lt; F5% = équivalence</t>
  </si>
  <si>
    <t>équipement, temps d'étude le plus court possible</t>
  </si>
  <si>
    <t>Plan complet équilibré</t>
  </si>
  <si>
    <t>Si contient 0, pas de biais significatif</t>
  </si>
  <si>
    <t>Sinon variance aberrante</t>
  </si>
  <si>
    <t xml:space="preserve">variance </t>
  </si>
  <si>
    <t>Jour (Série) 1</t>
  </si>
  <si>
    <t>Jour (Série) 2</t>
  </si>
  <si>
    <t>Jour (Série) 3</t>
  </si>
  <si>
    <t>Jour (Série) 4</t>
  </si>
  <si>
    <t>Jour (Série) 5</t>
  </si>
  <si>
    <t>Nombre de séries (K)</t>
  </si>
  <si>
    <t>Nombre de mesures (IK)</t>
  </si>
  <si>
    <t>Nombre de répétitions (I)</t>
  </si>
  <si>
    <t>SCE résiduelle</t>
  </si>
  <si>
    <t>SCE totale</t>
  </si>
  <si>
    <t>SCE inter-séries</t>
  </si>
  <si>
    <t>Valeur intermédiaire de s²L</t>
  </si>
  <si>
    <t>Variance de répétabilité (s²r)</t>
  </si>
  <si>
    <t>Variance inter-séries (s²L)</t>
  </si>
  <si>
    <t>Variance de fidélité (s²FI)</t>
  </si>
  <si>
    <t>Facteur de couverture</t>
  </si>
  <si>
    <t>Coefficient B²</t>
  </si>
  <si>
    <t>t Student bas</t>
  </si>
  <si>
    <t>t Student haut</t>
  </si>
  <si>
    <t>t Student interpolé</t>
  </si>
  <si>
    <t>Facteur de couverture (ktol)</t>
  </si>
  <si>
    <t>Intervalle de tolérance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</si>
</sst>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0.0000"/>
    <numFmt numFmtId="167" formatCode="0.00000"/>
    <numFmt numFmtId="168" formatCode="0.0000000"/>
    <numFmt numFmtId="169" formatCode="0.00000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9"/>
      <name val="Verdana"/>
      <family val="2"/>
    </font>
    <font>
      <sz val="9"/>
      <name val="Arial"/>
      <family val="2"/>
    </font>
    <font>
      <sz val="8"/>
      <color indexed="20"/>
      <name val="Verdana"/>
      <family val="2"/>
    </font>
    <font>
      <sz val="8"/>
      <name val="Tahoma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9"/>
      <color theme="0" tint="-0.249977111117893"/>
      <name val="Arial"/>
      <family val="2"/>
    </font>
    <font>
      <sz val="9"/>
      <color indexed="23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6" fillId="6" borderId="0"/>
    <xf numFmtId="0" fontId="8" fillId="7" borderId="0"/>
    <xf numFmtId="0" fontId="8" fillId="0" borderId="0">
      <alignment horizontal="right"/>
      <protection locked="0"/>
    </xf>
    <xf numFmtId="0" fontId="9" fillId="7" borderId="0"/>
    <xf numFmtId="9" fontId="10" fillId="7" borderId="0" applyFont="0" applyBorder="0" applyAlignment="0"/>
    <xf numFmtId="0" fontId="15" fillId="0" borderId="0" applyNumberFormat="0" applyFill="0" applyBorder="0" applyAlignment="0" applyProtection="0"/>
  </cellStyleXfs>
  <cellXfs count="118">
    <xf numFmtId="0" fontId="0" fillId="0" borderId="0" xfId="0"/>
    <xf numFmtId="0" fontId="7" fillId="6" borderId="0" xfId="3" applyFont="1"/>
    <xf numFmtId="0" fontId="8" fillId="7" borderId="0" xfId="4"/>
    <xf numFmtId="0" fontId="6" fillId="6" borderId="0" xfId="3"/>
    <xf numFmtId="0" fontId="8" fillId="0" borderId="2" xfId="5" applyBorder="1">
      <alignment horizontal="right"/>
      <protection locked="0"/>
    </xf>
    <xf numFmtId="1" fontId="8" fillId="7" borderId="0" xfId="4" applyNumberFormat="1"/>
    <xf numFmtId="167" fontId="8" fillId="7" borderId="0" xfId="4" applyNumberFormat="1"/>
    <xf numFmtId="0" fontId="9" fillId="7" borderId="0" xfId="6"/>
    <xf numFmtId="168" fontId="8" fillId="7" borderId="0" xfId="4" applyNumberFormat="1"/>
    <xf numFmtId="10" fontId="0" fillId="7" borderId="0" xfId="7" applyNumberFormat="1" applyFont="1"/>
    <xf numFmtId="0" fontId="6" fillId="6" borderId="0" xfId="3" applyFont="1"/>
    <xf numFmtId="165" fontId="8" fillId="0" borderId="2" xfId="5" applyNumberFormat="1" applyBorder="1">
      <alignment horizontal="right"/>
      <protection locked="0"/>
    </xf>
    <xf numFmtId="169" fontId="8" fillId="7" borderId="0" xfId="4" applyNumberFormat="1"/>
    <xf numFmtId="0" fontId="11" fillId="6" borderId="0" xfId="3" applyFont="1"/>
    <xf numFmtId="0" fontId="8" fillId="7" borderId="0" xfId="4" applyFont="1"/>
    <xf numFmtId="9" fontId="8" fillId="0" borderId="2" xfId="5" applyNumberFormat="1" applyFont="1" applyBorder="1">
      <alignment horizontal="right"/>
      <protection locked="0"/>
    </xf>
    <xf numFmtId="10" fontId="0" fillId="0" borderId="2" xfId="5" applyNumberFormat="1" applyFont="1" applyBorder="1">
      <alignment horizontal="right"/>
      <protection locked="0"/>
    </xf>
    <xf numFmtId="0" fontId="8" fillId="7" borderId="1" xfId="4" applyFont="1" applyBorder="1"/>
    <xf numFmtId="0" fontId="12" fillId="7" borderId="0" xfId="4" applyFont="1"/>
    <xf numFmtId="0" fontId="12" fillId="7" borderId="1" xfId="4" applyFont="1" applyBorder="1"/>
    <xf numFmtId="165" fontId="8" fillId="7" borderId="1" xfId="4" applyNumberFormat="1" applyFont="1" applyBorder="1"/>
    <xf numFmtId="0" fontId="13" fillId="7" borderId="0" xfId="4" applyFont="1"/>
    <xf numFmtId="10" fontId="8" fillId="7" borderId="1" xfId="7" applyNumberFormat="1" applyFont="1" applyBorder="1"/>
    <xf numFmtId="10" fontId="12" fillId="7" borderId="1" xfId="7" applyNumberFormat="1" applyFont="1" applyBorder="1"/>
    <xf numFmtId="10" fontId="12" fillId="7" borderId="1" xfId="4" applyNumberFormat="1" applyFont="1" applyBorder="1"/>
    <xf numFmtId="0" fontId="12" fillId="7" borderId="0" xfId="4" applyFont="1" applyBorder="1"/>
    <xf numFmtId="10" fontId="12" fillId="7" borderId="0" xfId="4" applyNumberFormat="1" applyFont="1" applyBorder="1"/>
    <xf numFmtId="166" fontId="8" fillId="7" borderId="0" xfId="4" applyNumberFormat="1" applyFont="1"/>
    <xf numFmtId="10" fontId="8" fillId="7" borderId="0" xfId="7" applyNumberFormat="1" applyFont="1"/>
    <xf numFmtId="0" fontId="14" fillId="7" borderId="0" xfId="4" applyFont="1"/>
    <xf numFmtId="166" fontId="14" fillId="7" borderId="0" xfId="4" applyNumberFormat="1" applyFont="1"/>
    <xf numFmtId="10" fontId="14" fillId="7" borderId="0" xfId="7" applyNumberFormat="1" applyFont="1"/>
    <xf numFmtId="0" fontId="12" fillId="0" borderId="1" xfId="0" applyFont="1" applyBorder="1"/>
    <xf numFmtId="0" fontId="8" fillId="0" borderId="1" xfId="0" applyFont="1" applyBorder="1"/>
    <xf numFmtId="1" fontId="12" fillId="7" borderId="1" xfId="4" applyNumberFormat="1" applyFont="1" applyBorder="1"/>
    <xf numFmtId="166" fontId="8" fillId="0" borderId="1" xfId="5" applyNumberFormat="1" applyBorder="1" applyAlignment="1">
      <alignment horizontal="center"/>
      <protection locked="0"/>
    </xf>
    <xf numFmtId="165" fontId="8" fillId="0" borderId="1" xfId="5" applyNumberFormat="1" applyBorder="1" applyAlignment="1">
      <alignment horizontal="center"/>
      <protection locked="0"/>
    </xf>
    <xf numFmtId="0" fontId="8" fillId="0" borderId="1" xfId="5" applyBorder="1" applyAlignment="1">
      <alignment horizontal="center"/>
      <protection locked="0"/>
    </xf>
    <xf numFmtId="0" fontId="4" fillId="0" borderId="7" xfId="0" applyFont="1" applyBorder="1" applyProtection="1">
      <protection hidden="1"/>
    </xf>
    <xf numFmtId="0" fontId="4" fillId="0" borderId="0" xfId="0" applyFont="1" applyProtection="1">
      <protection hidden="1"/>
    </xf>
    <xf numFmtId="11" fontId="4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5" fillId="4" borderId="0" xfId="2" applyFont="1" applyFill="1" applyBorder="1" applyProtection="1">
      <protection hidden="1"/>
    </xf>
    <xf numFmtId="0" fontId="4" fillId="4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2" fontId="5" fillId="4" borderId="0" xfId="2" applyNumberFormat="1" applyFont="1" applyFill="1" applyBorder="1" applyAlignment="1" applyProtection="1">
      <alignment horizontal="center"/>
      <protection hidden="1"/>
    </xf>
    <xf numFmtId="11" fontId="5" fillId="4" borderId="0" xfId="2" applyNumberFormat="1" applyFont="1" applyFill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10" fontId="3" fillId="4" borderId="1" xfId="0" applyNumberFormat="1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2" fontId="3" fillId="3" borderId="1" xfId="0" applyNumberFormat="1" applyFont="1" applyFill="1" applyBorder="1" applyAlignment="1" applyProtection="1">
      <alignment horizontal="center"/>
      <protection hidden="1"/>
    </xf>
    <xf numFmtId="2" fontId="3" fillId="3" borderId="1" xfId="0" applyNumberFormat="1" applyFont="1" applyFill="1" applyBorder="1" applyAlignment="1" applyProtection="1">
      <alignment horizontal="center" vertical="center"/>
      <protection hidden="1"/>
    </xf>
    <xf numFmtId="9" fontId="3" fillId="3" borderId="1" xfId="0" applyNumberFormat="1" applyFont="1" applyFill="1" applyBorder="1" applyAlignment="1" applyProtection="1">
      <alignment horizontal="center"/>
      <protection hidden="1"/>
    </xf>
    <xf numFmtId="1" fontId="3" fillId="3" borderId="1" xfId="0" applyNumberFormat="1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164" fontId="3" fillId="5" borderId="1" xfId="0" applyNumberFormat="1" applyFont="1" applyFill="1" applyBorder="1" applyAlignment="1" applyProtection="1">
      <alignment horizontal="center"/>
      <protection hidden="1"/>
    </xf>
    <xf numFmtId="2" fontId="3" fillId="5" borderId="1" xfId="0" applyNumberFormat="1" applyFont="1" applyFill="1" applyBorder="1" applyAlignment="1" applyProtection="1">
      <alignment horizontal="center"/>
      <protection hidden="1"/>
    </xf>
    <xf numFmtId="9" fontId="3" fillId="5" borderId="1" xfId="0" applyNumberFormat="1" applyFont="1" applyFill="1" applyBorder="1" applyAlignment="1" applyProtection="1">
      <alignment horizontal="center"/>
      <protection hidden="1"/>
    </xf>
    <xf numFmtId="9" fontId="3" fillId="0" borderId="1" xfId="0" applyNumberFormat="1" applyFont="1" applyBorder="1" applyAlignment="1" applyProtection="1">
      <alignment horizontal="center"/>
      <protection hidden="1"/>
    </xf>
    <xf numFmtId="17" fontId="3" fillId="0" borderId="0" xfId="0" applyNumberFormat="1" applyFont="1" applyAlignment="1" applyProtection="1">
      <alignment horizontal="center"/>
      <protection hidden="1"/>
    </xf>
    <xf numFmtId="165" fontId="3" fillId="2" borderId="1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5" fillId="4" borderId="0" xfId="2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165" fontId="3" fillId="2" borderId="19" xfId="0" applyNumberFormat="1" applyFont="1" applyFill="1" applyBorder="1" applyAlignment="1" applyProtection="1">
      <alignment horizontal="center" vertical="center"/>
      <protection hidden="1"/>
    </xf>
    <xf numFmtId="165" fontId="3" fillId="2" borderId="20" xfId="1" applyNumberFormat="1" applyFont="1" applyFill="1" applyBorder="1" applyAlignment="1" applyProtection="1">
      <alignment horizontal="center"/>
      <protection hidden="1"/>
    </xf>
    <xf numFmtId="165" fontId="3" fillId="4" borderId="21" xfId="0" applyNumberFormat="1" applyFont="1" applyFill="1" applyBorder="1" applyAlignment="1" applyProtection="1">
      <alignment horizontal="center"/>
      <protection hidden="1"/>
    </xf>
    <xf numFmtId="165" fontId="3" fillId="4" borderId="22" xfId="0" applyNumberFormat="1" applyFont="1" applyFill="1" applyBorder="1" applyAlignment="1" applyProtection="1">
      <alignment horizontal="center"/>
      <protection hidden="1"/>
    </xf>
    <xf numFmtId="165" fontId="3" fillId="4" borderId="23" xfId="0" applyNumberFormat="1" applyFont="1" applyFill="1" applyBorder="1" applyAlignment="1" applyProtection="1">
      <alignment horizontal="center"/>
      <protection hidden="1"/>
    </xf>
    <xf numFmtId="0" fontId="3" fillId="1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5" fillId="4" borderId="0" xfId="2" applyFont="1" applyFill="1" applyBorder="1" applyAlignment="1" applyProtection="1">
      <alignment horizontal="center"/>
      <protection hidden="1"/>
    </xf>
    <xf numFmtId="0" fontId="3" fillId="0" borderId="3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9" borderId="1" xfId="0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Protection="1">
      <protection hidden="1"/>
    </xf>
    <xf numFmtId="2" fontId="3" fillId="4" borderId="0" xfId="0" applyNumberFormat="1" applyFont="1" applyFill="1" applyBorder="1" applyAlignment="1" applyProtection="1">
      <alignment horizontal="center"/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horizontal="right"/>
      <protection hidden="1"/>
    </xf>
    <xf numFmtId="2" fontId="3" fillId="4" borderId="9" xfId="0" applyNumberFormat="1" applyFont="1" applyFill="1" applyBorder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0" fontId="3" fillId="8" borderId="6" xfId="0" applyFont="1" applyFill="1" applyBorder="1" applyProtection="1">
      <protection hidden="1"/>
    </xf>
    <xf numFmtId="0" fontId="3" fillId="8" borderId="0" xfId="0" applyFont="1" applyFill="1" applyBorder="1" applyProtection="1">
      <protection hidden="1"/>
    </xf>
    <xf numFmtId="2" fontId="3" fillId="8" borderId="0" xfId="0" applyNumberFormat="1" applyFont="1" applyFill="1" applyBorder="1" applyAlignment="1" applyProtection="1">
      <alignment horizontal="center"/>
      <protection hidden="1"/>
    </xf>
    <xf numFmtId="0" fontId="3" fillId="8" borderId="7" xfId="0" applyFont="1" applyFill="1" applyBorder="1" applyProtection="1">
      <protection hidden="1"/>
    </xf>
    <xf numFmtId="165" fontId="3" fillId="0" borderId="1" xfId="0" applyNumberFormat="1" applyFont="1" applyBorder="1" applyAlignment="1" applyProtection="1">
      <alignment horizontal="center"/>
      <protection hidden="1"/>
    </xf>
    <xf numFmtId="10" fontId="3" fillId="0" borderId="1" xfId="0" applyNumberFormat="1" applyFont="1" applyBorder="1" applyAlignment="1" applyProtection="1">
      <alignment horizontal="center"/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2" fontId="3" fillId="0" borderId="12" xfId="0" applyNumberFormat="1" applyFont="1" applyBorder="1" applyAlignment="1" applyProtection="1">
      <alignment horizontal="center"/>
      <protection hidden="1"/>
    </xf>
    <xf numFmtId="2" fontId="3" fillId="0" borderId="13" xfId="0" applyNumberFormat="1" applyFont="1" applyBorder="1" applyAlignment="1" applyProtection="1">
      <alignment horizontal="center"/>
      <protection hidden="1"/>
    </xf>
    <xf numFmtId="0" fontId="2" fillId="0" borderId="1" xfId="2" applyFont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3" fillId="4" borderId="7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Protection="1">
      <protection hidden="1"/>
    </xf>
    <xf numFmtId="0" fontId="3" fillId="4" borderId="9" xfId="0" applyFont="1" applyFill="1" applyBorder="1" applyAlignment="1" applyProtection="1">
      <alignment horizontal="center"/>
      <protection hidden="1"/>
    </xf>
    <xf numFmtId="0" fontId="3" fillId="4" borderId="10" xfId="0" applyFont="1" applyFill="1" applyBorder="1" applyAlignment="1" applyProtection="1">
      <alignment horizontal="center"/>
      <protection hidden="1"/>
    </xf>
    <xf numFmtId="0" fontId="16" fillId="0" borderId="0" xfId="8" applyFont="1" applyBorder="1" applyProtection="1">
      <protection hidden="1"/>
    </xf>
    <xf numFmtId="0" fontId="3" fillId="11" borderId="19" xfId="0" applyFont="1" applyFill="1" applyBorder="1" applyAlignment="1" applyProtection="1">
      <alignment horizontal="center"/>
      <protection hidden="1"/>
    </xf>
    <xf numFmtId="0" fontId="3" fillId="12" borderId="1" xfId="0" applyFont="1" applyFill="1" applyBorder="1" applyAlignment="1" applyProtection="1">
      <alignment horizontal="center"/>
      <protection hidden="1"/>
    </xf>
    <xf numFmtId="0" fontId="3" fillId="13" borderId="1" xfId="0" applyFont="1" applyFill="1" applyBorder="1" applyAlignment="1" applyProtection="1">
      <alignment horizontal="center"/>
      <protection hidden="1"/>
    </xf>
    <xf numFmtId="0" fontId="3" fillId="14" borderId="20" xfId="0" applyFont="1" applyFill="1" applyBorder="1" applyAlignment="1" applyProtection="1">
      <alignment horizontal="center"/>
      <protection hidden="1"/>
    </xf>
    <xf numFmtId="165" fontId="4" fillId="0" borderId="0" xfId="0" applyNumberFormat="1" applyFont="1" applyProtection="1">
      <protection hidden="1"/>
    </xf>
  </cellXfs>
  <cellStyles count="9">
    <cellStyle name="Formule" xfId="6" xr:uid="{00000000-0005-0000-0000-000000000000}"/>
    <cellStyle name="Lien hypertexte" xfId="8" builtinId="8"/>
    <cellStyle name="Normal" xfId="0" builtinId="0"/>
    <cellStyle name="Normal 2" xfId="1" xr:uid="{00000000-0005-0000-0000-000003000000}"/>
    <cellStyle name="Normal 2 2" xfId="2" xr:uid="{00000000-0005-0000-0000-000004000000}"/>
    <cellStyle name="Normal 3" xfId="4" xr:uid="{00000000-0005-0000-0000-000005000000}"/>
    <cellStyle name="Pourcentage 2" xfId="7" xr:uid="{00000000-0005-0000-0000-000006000000}"/>
    <cellStyle name="Saisie" xfId="5" xr:uid="{00000000-0005-0000-0000-000007000000}"/>
    <cellStyle name="Titre 2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Contribution% des facteurs à la dispersion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'1F5N'!$C$38:$C$39</c:f>
              <c:strCache>
                <c:ptCount val="2"/>
                <c:pt idx="0">
                  <c:v>répéta</c:v>
                </c:pt>
                <c:pt idx="1">
                  <c:v>opérateur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'1F5N'!$C$38:$C$39</c:f>
              <c:strCache>
                <c:ptCount val="2"/>
                <c:pt idx="0">
                  <c:v>répéta</c:v>
                </c:pt>
                <c:pt idx="1">
                  <c:v>opérateur</c:v>
                </c:pt>
              </c:strCache>
            </c:strRef>
          </c:cat>
          <c:val>
            <c:numRef>
              <c:f>'1F5N'!$L$38:$L$39</c:f>
              <c:numCache>
                <c:formatCode>0%</c:formatCode>
                <c:ptCount val="2"/>
                <c:pt idx="0">
                  <c:v>0.67863171049723203</c:v>
                </c:pt>
                <c:pt idx="1">
                  <c:v>0.32136828950276797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C-48FB-9061-2D5D1C4B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375712"/>
        <c:axId val="373382240"/>
      </c:barChart>
      <c:catAx>
        <c:axId val="3733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382240"/>
        <c:crosses val="autoZero"/>
        <c:auto val="1"/>
        <c:lblAlgn val="ctr"/>
        <c:lblOffset val="100"/>
        <c:noMultiLvlLbl val="0"/>
      </c:catAx>
      <c:valAx>
        <c:axId val="37338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3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moyenne</c:v>
          </c:tx>
          <c:spPr>
            <a:ln w="34925" cap="rnd" cmpd="sng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'1F5N'!$W$11:$W$71</c:f>
              <c:numCache>
                <c:formatCode>0.00</c:formatCode>
                <c:ptCount val="61"/>
                <c:pt idx="0">
                  <c:v>19.443537464946306</c:v>
                </c:pt>
                <c:pt idx="1">
                  <c:v>19.491207234152171</c:v>
                </c:pt>
                <c:pt idx="2">
                  <c:v>19.538877003358035</c:v>
                </c:pt>
                <c:pt idx="3">
                  <c:v>19.586546772563899</c:v>
                </c:pt>
                <c:pt idx="4">
                  <c:v>19.634216541769764</c:v>
                </c:pt>
                <c:pt idx="5">
                  <c:v>19.681886310975628</c:v>
                </c:pt>
                <c:pt idx="6">
                  <c:v>19.729556080181492</c:v>
                </c:pt>
                <c:pt idx="7">
                  <c:v>19.777225849387357</c:v>
                </c:pt>
                <c:pt idx="8">
                  <c:v>19.824895618593221</c:v>
                </c:pt>
                <c:pt idx="9">
                  <c:v>19.872565387799085</c:v>
                </c:pt>
                <c:pt idx="10">
                  <c:v>19.920235157004949</c:v>
                </c:pt>
                <c:pt idx="11">
                  <c:v>19.967904926210814</c:v>
                </c:pt>
                <c:pt idx="12">
                  <c:v>20.015574695416678</c:v>
                </c:pt>
                <c:pt idx="13">
                  <c:v>20.063244464622542</c:v>
                </c:pt>
                <c:pt idx="14">
                  <c:v>20.110914233828407</c:v>
                </c:pt>
                <c:pt idx="15">
                  <c:v>20.158584003034271</c:v>
                </c:pt>
                <c:pt idx="16">
                  <c:v>20.206253772240135</c:v>
                </c:pt>
                <c:pt idx="17">
                  <c:v>20.253923541445999</c:v>
                </c:pt>
                <c:pt idx="18">
                  <c:v>20.301593310651864</c:v>
                </c:pt>
                <c:pt idx="19">
                  <c:v>20.349263079857728</c:v>
                </c:pt>
                <c:pt idx="20">
                  <c:v>20.396932849063596</c:v>
                </c:pt>
                <c:pt idx="21">
                  <c:v>20.44460261826946</c:v>
                </c:pt>
                <c:pt idx="22">
                  <c:v>20.492272387475325</c:v>
                </c:pt>
                <c:pt idx="23">
                  <c:v>20.539942156681189</c:v>
                </c:pt>
                <c:pt idx="24">
                  <c:v>20.587611925887053</c:v>
                </c:pt>
                <c:pt idx="25">
                  <c:v>20.635281695092917</c:v>
                </c:pt>
                <c:pt idx="26">
                  <c:v>20.682951464298782</c:v>
                </c:pt>
                <c:pt idx="27">
                  <c:v>20.730621233504646</c:v>
                </c:pt>
                <c:pt idx="28">
                  <c:v>20.77829100271051</c:v>
                </c:pt>
                <c:pt idx="29">
                  <c:v>20.825960771916375</c:v>
                </c:pt>
                <c:pt idx="30">
                  <c:v>20.873630541122239</c:v>
                </c:pt>
                <c:pt idx="31">
                  <c:v>20.921300310328103</c:v>
                </c:pt>
                <c:pt idx="32">
                  <c:v>20.968970079533968</c:v>
                </c:pt>
                <c:pt idx="33">
                  <c:v>21.016639848739832</c:v>
                </c:pt>
                <c:pt idx="34">
                  <c:v>21.064309617945696</c:v>
                </c:pt>
                <c:pt idx="35">
                  <c:v>21.11197938715156</c:v>
                </c:pt>
                <c:pt idx="36">
                  <c:v>21.159649156357425</c:v>
                </c:pt>
                <c:pt idx="37">
                  <c:v>21.207318925563289</c:v>
                </c:pt>
                <c:pt idx="38">
                  <c:v>21.254988694769153</c:v>
                </c:pt>
                <c:pt idx="39">
                  <c:v>21.302658463975018</c:v>
                </c:pt>
                <c:pt idx="40">
                  <c:v>21.350328233180882</c:v>
                </c:pt>
                <c:pt idx="41">
                  <c:v>21.39799800238675</c:v>
                </c:pt>
                <c:pt idx="42">
                  <c:v>21.445667771592614</c:v>
                </c:pt>
                <c:pt idx="43">
                  <c:v>21.493337540798478</c:v>
                </c:pt>
                <c:pt idx="44">
                  <c:v>21.541007310004343</c:v>
                </c:pt>
                <c:pt idx="45">
                  <c:v>21.588677079210207</c:v>
                </c:pt>
                <c:pt idx="46">
                  <c:v>21.636346848416071</c:v>
                </c:pt>
                <c:pt idx="47">
                  <c:v>21.684016617621936</c:v>
                </c:pt>
                <c:pt idx="48">
                  <c:v>21.7316863868278</c:v>
                </c:pt>
                <c:pt idx="49">
                  <c:v>21.779356156033664</c:v>
                </c:pt>
                <c:pt idx="50">
                  <c:v>21.827025925239528</c:v>
                </c:pt>
                <c:pt idx="51">
                  <c:v>21.874695694445393</c:v>
                </c:pt>
                <c:pt idx="52">
                  <c:v>21.922365463651257</c:v>
                </c:pt>
                <c:pt idx="53">
                  <c:v>21.970035232857121</c:v>
                </c:pt>
                <c:pt idx="54">
                  <c:v>22.017705002062986</c:v>
                </c:pt>
                <c:pt idx="55">
                  <c:v>22.065374771268853</c:v>
                </c:pt>
                <c:pt idx="56">
                  <c:v>22.113044540474714</c:v>
                </c:pt>
                <c:pt idx="57">
                  <c:v>22.160714309680579</c:v>
                </c:pt>
                <c:pt idx="58">
                  <c:v>22.20838407888645</c:v>
                </c:pt>
                <c:pt idx="59">
                  <c:v>22.256053848092314</c:v>
                </c:pt>
                <c:pt idx="60">
                  <c:v>22.303723617298179</c:v>
                </c:pt>
              </c:numCache>
            </c:numRef>
          </c:xVal>
          <c:yVal>
            <c:numRef>
              <c:f>'1F5N'!$X$11:$X$71</c:f>
              <c:numCache>
                <c:formatCode>0.00E+00</c:formatCode>
                <c:ptCount val="61"/>
                <c:pt idx="0">
                  <c:v>9.2969789570385049E-3</c:v>
                </c:pt>
                <c:pt idx="1">
                  <c:v>1.2487017493350041E-2</c:v>
                </c:pt>
                <c:pt idx="2">
                  <c:v>1.6604761707145452E-2</c:v>
                </c:pt>
                <c:pt idx="3">
                  <c:v>2.1860678136324224E-2</c:v>
                </c:pt>
                <c:pt idx="4">
                  <c:v>2.8493885034405933E-2</c:v>
                </c:pt>
                <c:pt idx="5">
                  <c:v>3.6770265066465233E-2</c:v>
                </c:pt>
                <c:pt idx="6">
                  <c:v>4.6978474341109036E-2</c:v>
                </c:pt>
                <c:pt idx="7">
                  <c:v>5.9423484135761921E-2</c:v>
                </c:pt>
                <c:pt idx="8">
                  <c:v>7.4417379058481475E-2</c:v>
                </c:pt>
                <c:pt idx="9">
                  <c:v>9.2267272766691263E-2</c:v>
                </c:pt>
                <c:pt idx="10">
                  <c:v>0.11326038999690785</c:v>
                </c:pt>
                <c:pt idx="11">
                  <c:v>0.13764659629735362</c:v>
                </c:pt>
                <c:pt idx="12">
                  <c:v>0.16561892288578836</c:v>
                </c:pt>
                <c:pt idx="13">
                  <c:v>0.19729291528710918</c:v>
                </c:pt>
                <c:pt idx="14">
                  <c:v>0.23268590666012579</c:v>
                </c:pt>
                <c:pt idx="15">
                  <c:v>0.27169755134865986</c:v>
                </c:pt>
                <c:pt idx="16">
                  <c:v>0.31409312050397853</c:v>
                </c:pt>
                <c:pt idx="17">
                  <c:v>0.35949113012849337</c:v>
                </c:pt>
                <c:pt idx="18">
                  <c:v>0.40735681799634743</c:v>
                </c:pt>
                <c:pt idx="19">
                  <c:v>0.45700279372392866</c:v>
                </c:pt>
                <c:pt idx="20">
                  <c:v>0.50759785195137108</c:v>
                </c:pt>
                <c:pt idx="21">
                  <c:v>0.55818447274131355</c:v>
                </c:pt>
                <c:pt idx="22">
                  <c:v>0.60770496183951483</c:v>
                </c:pt>
                <c:pt idx="23">
                  <c:v>0.65503554678076237</c:v>
                </c:pt>
                <c:pt idx="24">
                  <c:v>0.69902709503952432</c:v>
                </c:pt>
                <c:pt idx="25">
                  <c:v>0.73855051666788396</c:v>
                </c:pt>
                <c:pt idx="26">
                  <c:v>0.77254441638458371</c:v>
                </c:pt>
                <c:pt idx="27">
                  <c:v>0.80006222353097733</c:v>
                </c:pt>
                <c:pt idx="28">
                  <c:v>0.82031589514670633</c:v>
                </c:pt>
                <c:pt idx="29">
                  <c:v>0.83271338227535974</c:v>
                </c:pt>
                <c:pt idx="30">
                  <c:v>0.83688737547391734</c:v>
                </c:pt>
                <c:pt idx="31">
                  <c:v>0.83271338227535974</c:v>
                </c:pt>
                <c:pt idx="32">
                  <c:v>0.82031589514670633</c:v>
                </c:pt>
                <c:pt idx="33">
                  <c:v>0.80006222353097733</c:v>
                </c:pt>
                <c:pt idx="34">
                  <c:v>0.77254441638458371</c:v>
                </c:pt>
                <c:pt idx="35">
                  <c:v>0.73855051666788396</c:v>
                </c:pt>
                <c:pt idx="36">
                  <c:v>0.69902709503952432</c:v>
                </c:pt>
                <c:pt idx="37">
                  <c:v>0.65503554678076237</c:v>
                </c:pt>
                <c:pt idx="38">
                  <c:v>0.60770496183951483</c:v>
                </c:pt>
                <c:pt idx="39">
                  <c:v>0.55818447274131355</c:v>
                </c:pt>
                <c:pt idx="40">
                  <c:v>0.50759785195137108</c:v>
                </c:pt>
                <c:pt idx="41">
                  <c:v>0.45700279372392866</c:v>
                </c:pt>
                <c:pt idx="42">
                  <c:v>0.40735681799634743</c:v>
                </c:pt>
                <c:pt idx="43">
                  <c:v>0.35949113012849337</c:v>
                </c:pt>
                <c:pt idx="44">
                  <c:v>0.31409312050397853</c:v>
                </c:pt>
                <c:pt idx="45">
                  <c:v>0.27169755134865986</c:v>
                </c:pt>
                <c:pt idx="46">
                  <c:v>0.23268590666012579</c:v>
                </c:pt>
                <c:pt idx="47">
                  <c:v>0.19729291528710918</c:v>
                </c:pt>
                <c:pt idx="48">
                  <c:v>0.16561892288578836</c:v>
                </c:pt>
                <c:pt idx="49">
                  <c:v>0.13764659629735362</c:v>
                </c:pt>
                <c:pt idx="50">
                  <c:v>0.11326038999690785</c:v>
                </c:pt>
                <c:pt idx="51">
                  <c:v>9.2267272766691263E-2</c:v>
                </c:pt>
                <c:pt idx="52">
                  <c:v>7.4417379058481475E-2</c:v>
                </c:pt>
                <c:pt idx="53">
                  <c:v>5.9423484135761921E-2</c:v>
                </c:pt>
                <c:pt idx="54">
                  <c:v>4.6978474341109036E-2</c:v>
                </c:pt>
                <c:pt idx="55">
                  <c:v>3.6770265066464532E-2</c:v>
                </c:pt>
                <c:pt idx="56">
                  <c:v>2.8493885034405933E-2</c:v>
                </c:pt>
                <c:pt idx="57">
                  <c:v>2.1860678136324224E-2</c:v>
                </c:pt>
                <c:pt idx="58">
                  <c:v>1.6604761707144772E-2</c:v>
                </c:pt>
                <c:pt idx="59">
                  <c:v>1.248701749334951E-2</c:v>
                </c:pt>
                <c:pt idx="60">
                  <c:v>9.2969789570380903E-3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70-4F1F-AADF-E40F74D640F1}"/>
            </c:ext>
          </c:extLst>
        </c:ser>
        <c:ser>
          <c:idx val="1"/>
          <c:order val="1"/>
          <c:tx>
            <c:v>Tolérance</c:v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8A70-4F1F-AADF-E40F74D640F1}"/>
              </c:ext>
            </c:extLst>
          </c:dPt>
          <c:xVal>
            <c:numRef>
              <c:f>'1F5N'!$Q$5:$R$5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xVal>
          <c:yVal>
            <c:numRef>
              <c:f>'1F5N'!$S$5:$T$5</c:f>
              <c:numCache>
                <c:formatCode>0.00E+00</c:formatCode>
                <c:ptCount val="2"/>
                <c:pt idx="0" formatCode="General">
                  <c:v>0</c:v>
                </c:pt>
                <c:pt idx="1">
                  <c:v>1.3731051254082687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70-4F1F-AADF-E40F74D640F1}"/>
            </c:ext>
          </c:extLst>
        </c:ser>
        <c:ser>
          <c:idx val="2"/>
          <c:order val="2"/>
          <c:tx>
            <c:v>Tolérance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222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70-4F1F-AADF-E40F74D640F1}"/>
              </c:ext>
            </c:extLst>
          </c:dPt>
          <c:xVal>
            <c:numRef>
              <c:f>'1F5N'!$Q$6:$R$6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'1F5N'!$S$6:$T$6</c:f>
              <c:numCache>
                <c:formatCode>0.00E+00</c:formatCode>
                <c:ptCount val="2"/>
                <c:pt idx="0" formatCode="General">
                  <c:v>0</c:v>
                </c:pt>
                <c:pt idx="1">
                  <c:v>1.3731051254082687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70-4F1F-AADF-E40F74D640F1}"/>
            </c:ext>
          </c:extLst>
        </c:ser>
        <c:ser>
          <c:idx val="3"/>
          <c:order val="3"/>
          <c:tx>
            <c:strRef>
              <c:f>'1F5N'!$H$4</c:f>
              <c:strCache>
                <c:ptCount val="1"/>
                <c:pt idx="0">
                  <c:v>marie</c:v>
                </c:pt>
              </c:strCache>
            </c:strRef>
          </c:tx>
          <c:spPr>
            <a:ln w="2222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'1F5N'!$W$11:$W$71</c:f>
              <c:numCache>
                <c:formatCode>0.00</c:formatCode>
                <c:ptCount val="61"/>
                <c:pt idx="0">
                  <c:v>19.443537464946306</c:v>
                </c:pt>
                <c:pt idx="1">
                  <c:v>19.491207234152171</c:v>
                </c:pt>
                <c:pt idx="2">
                  <c:v>19.538877003358035</c:v>
                </c:pt>
                <c:pt idx="3">
                  <c:v>19.586546772563899</c:v>
                </c:pt>
                <c:pt idx="4">
                  <c:v>19.634216541769764</c:v>
                </c:pt>
                <c:pt idx="5">
                  <c:v>19.681886310975628</c:v>
                </c:pt>
                <c:pt idx="6">
                  <c:v>19.729556080181492</c:v>
                </c:pt>
                <c:pt idx="7">
                  <c:v>19.777225849387357</c:v>
                </c:pt>
                <c:pt idx="8">
                  <c:v>19.824895618593221</c:v>
                </c:pt>
                <c:pt idx="9">
                  <c:v>19.872565387799085</c:v>
                </c:pt>
                <c:pt idx="10">
                  <c:v>19.920235157004949</c:v>
                </c:pt>
                <c:pt idx="11">
                  <c:v>19.967904926210814</c:v>
                </c:pt>
                <c:pt idx="12">
                  <c:v>20.015574695416678</c:v>
                </c:pt>
                <c:pt idx="13">
                  <c:v>20.063244464622542</c:v>
                </c:pt>
                <c:pt idx="14">
                  <c:v>20.110914233828407</c:v>
                </c:pt>
                <c:pt idx="15">
                  <c:v>20.158584003034271</c:v>
                </c:pt>
                <c:pt idx="16">
                  <c:v>20.206253772240135</c:v>
                </c:pt>
                <c:pt idx="17">
                  <c:v>20.253923541445999</c:v>
                </c:pt>
                <c:pt idx="18">
                  <c:v>20.301593310651864</c:v>
                </c:pt>
                <c:pt idx="19">
                  <c:v>20.349263079857728</c:v>
                </c:pt>
                <c:pt idx="20">
                  <c:v>20.396932849063596</c:v>
                </c:pt>
                <c:pt idx="21">
                  <c:v>20.44460261826946</c:v>
                </c:pt>
                <c:pt idx="22">
                  <c:v>20.492272387475325</c:v>
                </c:pt>
                <c:pt idx="23">
                  <c:v>20.539942156681189</c:v>
                </c:pt>
                <c:pt idx="24">
                  <c:v>20.587611925887053</c:v>
                </c:pt>
                <c:pt idx="25">
                  <c:v>20.635281695092917</c:v>
                </c:pt>
                <c:pt idx="26">
                  <c:v>20.682951464298782</c:v>
                </c:pt>
                <c:pt idx="27">
                  <c:v>20.730621233504646</c:v>
                </c:pt>
                <c:pt idx="28">
                  <c:v>20.77829100271051</c:v>
                </c:pt>
                <c:pt idx="29">
                  <c:v>20.825960771916375</c:v>
                </c:pt>
                <c:pt idx="30">
                  <c:v>20.873630541122239</c:v>
                </c:pt>
                <c:pt idx="31">
                  <c:v>20.921300310328103</c:v>
                </c:pt>
                <c:pt idx="32">
                  <c:v>20.968970079533968</c:v>
                </c:pt>
                <c:pt idx="33">
                  <c:v>21.016639848739832</c:v>
                </c:pt>
                <c:pt idx="34">
                  <c:v>21.064309617945696</c:v>
                </c:pt>
                <c:pt idx="35">
                  <c:v>21.11197938715156</c:v>
                </c:pt>
                <c:pt idx="36">
                  <c:v>21.159649156357425</c:v>
                </c:pt>
                <c:pt idx="37">
                  <c:v>21.207318925563289</c:v>
                </c:pt>
                <c:pt idx="38">
                  <c:v>21.254988694769153</c:v>
                </c:pt>
                <c:pt idx="39">
                  <c:v>21.302658463975018</c:v>
                </c:pt>
                <c:pt idx="40">
                  <c:v>21.350328233180882</c:v>
                </c:pt>
                <c:pt idx="41">
                  <c:v>21.39799800238675</c:v>
                </c:pt>
                <c:pt idx="42">
                  <c:v>21.445667771592614</c:v>
                </c:pt>
                <c:pt idx="43">
                  <c:v>21.493337540798478</c:v>
                </c:pt>
                <c:pt idx="44">
                  <c:v>21.541007310004343</c:v>
                </c:pt>
                <c:pt idx="45">
                  <c:v>21.588677079210207</c:v>
                </c:pt>
                <c:pt idx="46">
                  <c:v>21.636346848416071</c:v>
                </c:pt>
                <c:pt idx="47">
                  <c:v>21.684016617621936</c:v>
                </c:pt>
                <c:pt idx="48">
                  <c:v>21.7316863868278</c:v>
                </c:pt>
                <c:pt idx="49">
                  <c:v>21.779356156033664</c:v>
                </c:pt>
                <c:pt idx="50">
                  <c:v>21.827025925239528</c:v>
                </c:pt>
                <c:pt idx="51">
                  <c:v>21.874695694445393</c:v>
                </c:pt>
                <c:pt idx="52">
                  <c:v>21.922365463651257</c:v>
                </c:pt>
                <c:pt idx="53">
                  <c:v>21.970035232857121</c:v>
                </c:pt>
                <c:pt idx="54">
                  <c:v>22.017705002062986</c:v>
                </c:pt>
                <c:pt idx="55">
                  <c:v>22.065374771268853</c:v>
                </c:pt>
                <c:pt idx="56">
                  <c:v>22.113044540474714</c:v>
                </c:pt>
                <c:pt idx="57">
                  <c:v>22.160714309680579</c:v>
                </c:pt>
                <c:pt idx="58">
                  <c:v>22.20838407888645</c:v>
                </c:pt>
                <c:pt idx="59">
                  <c:v>22.256053848092314</c:v>
                </c:pt>
                <c:pt idx="60">
                  <c:v>22.303723617298179</c:v>
                </c:pt>
              </c:numCache>
            </c:numRef>
          </c:xVal>
          <c:yVal>
            <c:numRef>
              <c:f>'1F5N'!$Y$11:$Y$71</c:f>
              <c:numCache>
                <c:formatCode>0.00E+00</c:formatCode>
                <c:ptCount val="61"/>
                <c:pt idx="0">
                  <c:v>1.9817189512507188E-3</c:v>
                </c:pt>
                <c:pt idx="1">
                  <c:v>2.8088199968496225E-3</c:v>
                </c:pt>
                <c:pt idx="2">
                  <c:v>3.9401953679494128E-3</c:v>
                </c:pt>
                <c:pt idx="3">
                  <c:v>5.4704569653382428E-3</c:v>
                </c:pt>
                <c:pt idx="4">
                  <c:v>7.5169464725529942E-3</c:v>
                </c:pt>
                <c:pt idx="5">
                  <c:v>1.0222834065240841E-2</c:v>
                </c:pt>
                <c:pt idx="6">
                  <c:v>1.3759833135660352E-2</c:v>
                </c:pt>
                <c:pt idx="7">
                  <c:v>1.8330192467192846E-2</c:v>
                </c:pt>
                <c:pt idx="8">
                  <c:v>2.4167564419362245E-2</c:v>
                </c:pt>
                <c:pt idx="9">
                  <c:v>3.1536300608068425E-2</c:v>
                </c:pt>
                <c:pt idx="10">
                  <c:v>4.0728705838607764E-2</c:v>
                </c:pt>
                <c:pt idx="11">
                  <c:v>5.2059797724800287E-2</c:v>
                </c:pt>
                <c:pt idx="12">
                  <c:v>6.5859183804840418E-2</c:v>
                </c:pt>
                <c:pt idx="13">
                  <c:v>8.245978801933726E-2</c:v>
                </c:pt>
                <c:pt idx="14">
                  <c:v>0.10218333806673857</c:v>
                </c:pt>
                <c:pt idx="15">
                  <c:v>0.12532276255903332</c:v>
                </c:pt>
                <c:pt idx="16">
                  <c:v>0.15212193308604743</c:v>
                </c:pt>
                <c:pt idx="17">
                  <c:v>0.1827535043464884</c:v>
                </c:pt>
                <c:pt idx="18">
                  <c:v>0.21729593065948466</c:v>
                </c:pt>
                <c:pt idx="19">
                  <c:v>0.25571103800370604</c:v>
                </c:pt>
                <c:pt idx="20">
                  <c:v>0.29782377150092237</c:v>
                </c:pt>
                <c:pt idx="21">
                  <c:v>0.34330588237610771</c:v>
                </c:pt>
                <c:pt idx="22">
                  <c:v>0.39166533275619059</c:v>
                </c:pt>
                <c:pt idx="23">
                  <c:v>0.44224305625048349</c:v>
                </c:pt>
                <c:pt idx="24">
                  <c:v>0.49421840479744805</c:v>
                </c:pt>
                <c:pt idx="25">
                  <c:v>0.54662414177080731</c:v>
                </c:pt>
                <c:pt idx="26">
                  <c:v>0.59837123019600313</c:v>
                </c:pt>
                <c:pt idx="27">
                  <c:v>0.64828295389247559</c:v>
                </c:pt>
                <c:pt idx="28">
                  <c:v>0.69513715517513963</c:v>
                </c:pt>
                <c:pt idx="29">
                  <c:v>0.73771464340508008</c:v>
                </c:pt>
                <c:pt idx="30">
                  <c:v>0.7748511966529763</c:v>
                </c:pt>
                <c:pt idx="31">
                  <c:v>0.80549011297317186</c:v>
                </c:pt>
                <c:pt idx="32">
                  <c:v>0.8287320253618311</c:v>
                </c:pt>
                <c:pt idx="33">
                  <c:v>0.84387871308732088</c:v>
                </c:pt>
                <c:pt idx="34">
                  <c:v>0.85046793443038726</c:v>
                </c:pt>
                <c:pt idx="35">
                  <c:v>0.84829685681409528</c:v>
                </c:pt>
                <c:pt idx="36">
                  <c:v>0.83743242734605439</c:v>
                </c:pt>
                <c:pt idx="37">
                  <c:v>0.8182079439841814</c:v>
                </c:pt>
                <c:pt idx="38">
                  <c:v>0.79120607234610918</c:v>
                </c:pt>
                <c:pt idx="39">
                  <c:v>0.75722951555667362</c:v>
                </c:pt>
                <c:pt idx="40">
                  <c:v>0.7172613969151197</c:v>
                </c:pt>
                <c:pt idx="41">
                  <c:v>0.67241808221528665</c:v>
                </c:pt>
                <c:pt idx="42">
                  <c:v>0.62389759523081356</c:v>
                </c:pt>
                <c:pt idx="43">
                  <c:v>0.57292693694266428</c:v>
                </c:pt>
                <c:pt idx="44">
                  <c:v>0.52071150532104482</c:v>
                </c:pt>
                <c:pt idx="45">
                  <c:v>0.4683894534867647</c:v>
                </c:pt>
                <c:pt idx="46">
                  <c:v>0.41699326799955339</c:v>
                </c:pt>
                <c:pt idx="47">
                  <c:v>0.36742015981851001</c:v>
                </c:pt>
                <c:pt idx="48">
                  <c:v>0.3204121098926736</c:v>
                </c:pt>
                <c:pt idx="49">
                  <c:v>0.27654567056698104</c:v>
                </c:pt>
                <c:pt idx="50">
                  <c:v>0.23623095618832793</c:v>
                </c:pt>
                <c:pt idx="51">
                  <c:v>0.19971871075581452</c:v>
                </c:pt>
                <c:pt idx="52">
                  <c:v>0.16711394899192486</c:v>
                </c:pt>
                <c:pt idx="53">
                  <c:v>0.13839444296978809</c:v>
                </c:pt>
                <c:pt idx="54">
                  <c:v>0.11343226498953464</c:v>
                </c:pt>
                <c:pt idx="55">
                  <c:v>9.2016679670173906E-2</c:v>
                </c:pt>
                <c:pt idx="56">
                  <c:v>7.3876874617436403E-2</c:v>
                </c:pt>
                <c:pt idx="57">
                  <c:v>5.8703294123962364E-2</c:v>
                </c:pt>
                <c:pt idx="58">
                  <c:v>4.6166657491220744E-2</c:v>
                </c:pt>
                <c:pt idx="59">
                  <c:v>3.5934068756967322E-2</c:v>
                </c:pt>
                <c:pt idx="60">
                  <c:v>2.7681929518876124E-2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8F-44C1-AA25-28FE157611D5}"/>
            </c:ext>
          </c:extLst>
        </c:ser>
        <c:ser>
          <c:idx val="4"/>
          <c:order val="4"/>
          <c:tx>
            <c:strRef>
              <c:f>'1F5N'!$I$4</c:f>
              <c:strCache>
                <c:ptCount val="1"/>
                <c:pt idx="0">
                  <c:v>pierre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'1F5N'!$W$11:$W$71</c:f>
              <c:numCache>
                <c:formatCode>0.00</c:formatCode>
                <c:ptCount val="61"/>
                <c:pt idx="0">
                  <c:v>19.443537464946306</c:v>
                </c:pt>
                <c:pt idx="1">
                  <c:v>19.491207234152171</c:v>
                </c:pt>
                <c:pt idx="2">
                  <c:v>19.538877003358035</c:v>
                </c:pt>
                <c:pt idx="3">
                  <c:v>19.586546772563899</c:v>
                </c:pt>
                <c:pt idx="4">
                  <c:v>19.634216541769764</c:v>
                </c:pt>
                <c:pt idx="5">
                  <c:v>19.681886310975628</c:v>
                </c:pt>
                <c:pt idx="6">
                  <c:v>19.729556080181492</c:v>
                </c:pt>
                <c:pt idx="7">
                  <c:v>19.777225849387357</c:v>
                </c:pt>
                <c:pt idx="8">
                  <c:v>19.824895618593221</c:v>
                </c:pt>
                <c:pt idx="9">
                  <c:v>19.872565387799085</c:v>
                </c:pt>
                <c:pt idx="10">
                  <c:v>19.920235157004949</c:v>
                </c:pt>
                <c:pt idx="11">
                  <c:v>19.967904926210814</c:v>
                </c:pt>
                <c:pt idx="12">
                  <c:v>20.015574695416678</c:v>
                </c:pt>
                <c:pt idx="13">
                  <c:v>20.063244464622542</c:v>
                </c:pt>
                <c:pt idx="14">
                  <c:v>20.110914233828407</c:v>
                </c:pt>
                <c:pt idx="15">
                  <c:v>20.158584003034271</c:v>
                </c:pt>
                <c:pt idx="16">
                  <c:v>20.206253772240135</c:v>
                </c:pt>
                <c:pt idx="17">
                  <c:v>20.253923541445999</c:v>
                </c:pt>
                <c:pt idx="18">
                  <c:v>20.301593310651864</c:v>
                </c:pt>
                <c:pt idx="19">
                  <c:v>20.349263079857728</c:v>
                </c:pt>
                <c:pt idx="20">
                  <c:v>20.396932849063596</c:v>
                </c:pt>
                <c:pt idx="21">
                  <c:v>20.44460261826946</c:v>
                </c:pt>
                <c:pt idx="22">
                  <c:v>20.492272387475325</c:v>
                </c:pt>
                <c:pt idx="23">
                  <c:v>20.539942156681189</c:v>
                </c:pt>
                <c:pt idx="24">
                  <c:v>20.587611925887053</c:v>
                </c:pt>
                <c:pt idx="25">
                  <c:v>20.635281695092917</c:v>
                </c:pt>
                <c:pt idx="26">
                  <c:v>20.682951464298782</c:v>
                </c:pt>
                <c:pt idx="27">
                  <c:v>20.730621233504646</c:v>
                </c:pt>
                <c:pt idx="28">
                  <c:v>20.77829100271051</c:v>
                </c:pt>
                <c:pt idx="29">
                  <c:v>20.825960771916375</c:v>
                </c:pt>
                <c:pt idx="30">
                  <c:v>20.873630541122239</c:v>
                </c:pt>
                <c:pt idx="31">
                  <c:v>20.921300310328103</c:v>
                </c:pt>
                <c:pt idx="32">
                  <c:v>20.968970079533968</c:v>
                </c:pt>
                <c:pt idx="33">
                  <c:v>21.016639848739832</c:v>
                </c:pt>
                <c:pt idx="34">
                  <c:v>21.064309617945696</c:v>
                </c:pt>
                <c:pt idx="35">
                  <c:v>21.11197938715156</c:v>
                </c:pt>
                <c:pt idx="36">
                  <c:v>21.159649156357425</c:v>
                </c:pt>
                <c:pt idx="37">
                  <c:v>21.207318925563289</c:v>
                </c:pt>
                <c:pt idx="38">
                  <c:v>21.254988694769153</c:v>
                </c:pt>
                <c:pt idx="39">
                  <c:v>21.302658463975018</c:v>
                </c:pt>
                <c:pt idx="40">
                  <c:v>21.350328233180882</c:v>
                </c:pt>
                <c:pt idx="41">
                  <c:v>21.39799800238675</c:v>
                </c:pt>
                <c:pt idx="42">
                  <c:v>21.445667771592614</c:v>
                </c:pt>
                <c:pt idx="43">
                  <c:v>21.493337540798478</c:v>
                </c:pt>
                <c:pt idx="44">
                  <c:v>21.541007310004343</c:v>
                </c:pt>
                <c:pt idx="45">
                  <c:v>21.588677079210207</c:v>
                </c:pt>
                <c:pt idx="46">
                  <c:v>21.636346848416071</c:v>
                </c:pt>
                <c:pt idx="47">
                  <c:v>21.684016617621936</c:v>
                </c:pt>
                <c:pt idx="48">
                  <c:v>21.7316863868278</c:v>
                </c:pt>
                <c:pt idx="49">
                  <c:v>21.779356156033664</c:v>
                </c:pt>
                <c:pt idx="50">
                  <c:v>21.827025925239528</c:v>
                </c:pt>
                <c:pt idx="51">
                  <c:v>21.874695694445393</c:v>
                </c:pt>
                <c:pt idx="52">
                  <c:v>21.922365463651257</c:v>
                </c:pt>
                <c:pt idx="53">
                  <c:v>21.970035232857121</c:v>
                </c:pt>
                <c:pt idx="54">
                  <c:v>22.017705002062986</c:v>
                </c:pt>
                <c:pt idx="55">
                  <c:v>22.065374771268853</c:v>
                </c:pt>
                <c:pt idx="56">
                  <c:v>22.113044540474714</c:v>
                </c:pt>
                <c:pt idx="57">
                  <c:v>22.160714309680579</c:v>
                </c:pt>
                <c:pt idx="58">
                  <c:v>22.20838407888645</c:v>
                </c:pt>
                <c:pt idx="59">
                  <c:v>22.256053848092314</c:v>
                </c:pt>
                <c:pt idx="60">
                  <c:v>22.303723617298179</c:v>
                </c:pt>
              </c:numCache>
            </c:numRef>
          </c:xVal>
          <c:yVal>
            <c:numRef>
              <c:f>'1F5N'!$Z$11:$Z$71</c:f>
              <c:numCache>
                <c:formatCode>0.00E+00</c:formatCode>
                <c:ptCount val="61"/>
                <c:pt idx="0">
                  <c:v>4.2491323293680239E-8</c:v>
                </c:pt>
                <c:pt idx="1">
                  <c:v>1.5963365406659892E-7</c:v>
                </c:pt>
                <c:pt idx="2">
                  <c:v>5.6951337870419836E-7</c:v>
                </c:pt>
                <c:pt idx="3">
                  <c:v>1.9294729034583257E-6</c:v>
                </c:pt>
                <c:pt idx="4">
                  <c:v>6.2076713252784239E-6</c:v>
                </c:pt>
                <c:pt idx="5">
                  <c:v>1.8965924716734286E-5</c:v>
                </c:pt>
                <c:pt idx="6">
                  <c:v>5.5026844313827245E-5</c:v>
                </c:pt>
                <c:pt idx="7">
                  <c:v>1.5161091545589248E-4</c:v>
                </c:pt>
                <c:pt idx="8">
                  <c:v>3.966811923765206E-4</c:v>
                </c:pt>
                <c:pt idx="9">
                  <c:v>9.8561664053092163E-4</c:v>
                </c:pt>
                <c:pt idx="10">
                  <c:v>2.3255716355870745E-3</c:v>
                </c:pt>
                <c:pt idx="11">
                  <c:v>5.210827467315454E-3</c:v>
                </c:pt>
                <c:pt idx="12">
                  <c:v>1.108763556853881E-2</c:v>
                </c:pt>
                <c:pt idx="13">
                  <c:v>2.2404046717105018E-2</c:v>
                </c:pt>
                <c:pt idx="14">
                  <c:v>4.2990180991943058E-2</c:v>
                </c:pt>
                <c:pt idx="15">
                  <c:v>7.8337075589504396E-2</c:v>
                </c:pt>
                <c:pt idx="16">
                  <c:v>0.13555661436255403</c:v>
                </c:pt>
                <c:pt idx="17">
                  <c:v>0.22275596855131419</c:v>
                </c:pt>
                <c:pt idx="18">
                  <c:v>0.34761080122479016</c:v>
                </c:pt>
                <c:pt idx="19">
                  <c:v>0.51512479340943118</c:v>
                </c:pt>
                <c:pt idx="20">
                  <c:v>0.72491472466185891</c:v>
                </c:pt>
                <c:pt idx="21">
                  <c:v>0.96876104427179321</c:v>
                </c:pt>
                <c:pt idx="22">
                  <c:v>1.2294240069963176</c:v>
                </c:pt>
                <c:pt idx="23">
                  <c:v>1.4816375953927912</c:v>
                </c:pt>
                <c:pt idx="24">
                  <c:v>1.695655280648986</c:v>
                </c:pt>
                <c:pt idx="25">
                  <c:v>1.8428433568295777</c:v>
                </c:pt>
                <c:pt idx="26">
                  <c:v>1.9019301078778394</c:v>
                </c:pt>
                <c:pt idx="27">
                  <c:v>1.8640431558913955</c:v>
                </c:pt>
                <c:pt idx="28">
                  <c:v>1.7348928194948465</c:v>
                </c:pt>
                <c:pt idx="29">
                  <c:v>1.5333617079773889</c:v>
                </c:pt>
                <c:pt idx="30">
                  <c:v>1.2869801691670979</c:v>
                </c:pt>
                <c:pt idx="31">
                  <c:v>1.0257803460688553</c:v>
                </c:pt>
                <c:pt idx="32">
                  <c:v>0.776411876143282</c:v>
                </c:pt>
                <c:pt idx="33">
                  <c:v>0.55806558774397674</c:v>
                </c:pt>
                <c:pt idx="34">
                  <c:v>0.38091984067243834</c:v>
                </c:pt>
                <c:pt idx="35">
                  <c:v>0.2469091714474074</c:v>
                </c:pt>
                <c:pt idx="36">
                  <c:v>0.15198339010747006</c:v>
                </c:pt>
                <c:pt idx="37">
                  <c:v>8.8840360125204854E-2</c:v>
                </c:pt>
                <c:pt idx="38">
                  <c:v>4.9315083235356293E-2</c:v>
                </c:pt>
                <c:pt idx="39">
                  <c:v>2.5995879066135902E-2</c:v>
                </c:pt>
                <c:pt idx="40">
                  <c:v>1.3013212532211767E-2</c:v>
                </c:pt>
                <c:pt idx="41">
                  <c:v>6.1861410043291378E-3</c:v>
                </c:pt>
                <c:pt idx="42">
                  <c:v>2.7926106144625534E-3</c:v>
                </c:pt>
                <c:pt idx="43">
                  <c:v>1.1971711190627136E-3</c:v>
                </c:pt>
                <c:pt idx="44">
                  <c:v>4.8736838703045913E-4</c:v>
                </c:pt>
                <c:pt idx="45">
                  <c:v>1.8841425477542353E-4</c:v>
                </c:pt>
                <c:pt idx="46">
                  <c:v>6.9171220034737222E-5</c:v>
                </c:pt>
                <c:pt idx="47">
                  <c:v>2.4115284617161553E-5</c:v>
                </c:pt>
                <c:pt idx="48">
                  <c:v>7.9838914854743268E-6</c:v>
                </c:pt>
                <c:pt idx="49">
                  <c:v>2.5101064311151525E-6</c:v>
                </c:pt>
                <c:pt idx="50">
                  <c:v>7.4941938839236175E-7</c:v>
                </c:pt>
                <c:pt idx="51">
                  <c:v>2.1247752072646391E-7</c:v>
                </c:pt>
                <c:pt idx="52">
                  <c:v>5.7207943102978199E-8</c:v>
                </c:pt>
                <c:pt idx="53">
                  <c:v>1.4626989625002129E-8</c:v>
                </c:pt>
                <c:pt idx="54">
                  <c:v>3.5514757282523667E-9</c:v>
                </c:pt>
                <c:pt idx="55">
                  <c:v>8.1887577951638646E-10</c:v>
                </c:pt>
                <c:pt idx="56">
                  <c:v>1.793009035600484E-10</c:v>
                </c:pt>
                <c:pt idx="57">
                  <c:v>3.7282258018536004E-11</c:v>
                </c:pt>
                <c:pt idx="58">
                  <c:v>7.3616847332086998E-12</c:v>
                </c:pt>
                <c:pt idx="59">
                  <c:v>1.3804080999730353E-12</c:v>
                </c:pt>
                <c:pt idx="60">
                  <c:v>2.4580632885713228E-13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8F-44C1-AA25-28FE157611D5}"/>
            </c:ext>
          </c:extLst>
        </c:ser>
        <c:ser>
          <c:idx val="5"/>
          <c:order val="5"/>
          <c:tx>
            <c:strRef>
              <c:f>'1F5N'!$J$4</c:f>
              <c:strCache>
                <c:ptCount val="1"/>
                <c:pt idx="0">
                  <c:v>paul</c:v>
                </c:pt>
              </c:strCache>
            </c:strRef>
          </c:tx>
          <c:spPr>
            <a:ln w="2222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'1F5N'!$W$11:$W$71</c:f>
              <c:numCache>
                <c:formatCode>0.00</c:formatCode>
                <c:ptCount val="61"/>
                <c:pt idx="0">
                  <c:v>19.443537464946306</c:v>
                </c:pt>
                <c:pt idx="1">
                  <c:v>19.491207234152171</c:v>
                </c:pt>
                <c:pt idx="2">
                  <c:v>19.538877003358035</c:v>
                </c:pt>
                <c:pt idx="3">
                  <c:v>19.586546772563899</c:v>
                </c:pt>
                <c:pt idx="4">
                  <c:v>19.634216541769764</c:v>
                </c:pt>
                <c:pt idx="5">
                  <c:v>19.681886310975628</c:v>
                </c:pt>
                <c:pt idx="6">
                  <c:v>19.729556080181492</c:v>
                </c:pt>
                <c:pt idx="7">
                  <c:v>19.777225849387357</c:v>
                </c:pt>
                <c:pt idx="8">
                  <c:v>19.824895618593221</c:v>
                </c:pt>
                <c:pt idx="9">
                  <c:v>19.872565387799085</c:v>
                </c:pt>
                <c:pt idx="10">
                  <c:v>19.920235157004949</c:v>
                </c:pt>
                <c:pt idx="11">
                  <c:v>19.967904926210814</c:v>
                </c:pt>
                <c:pt idx="12">
                  <c:v>20.015574695416678</c:v>
                </c:pt>
                <c:pt idx="13">
                  <c:v>20.063244464622542</c:v>
                </c:pt>
                <c:pt idx="14">
                  <c:v>20.110914233828407</c:v>
                </c:pt>
                <c:pt idx="15">
                  <c:v>20.158584003034271</c:v>
                </c:pt>
                <c:pt idx="16">
                  <c:v>20.206253772240135</c:v>
                </c:pt>
                <c:pt idx="17">
                  <c:v>20.253923541445999</c:v>
                </c:pt>
                <c:pt idx="18">
                  <c:v>20.301593310651864</c:v>
                </c:pt>
                <c:pt idx="19">
                  <c:v>20.349263079857728</c:v>
                </c:pt>
                <c:pt idx="20">
                  <c:v>20.396932849063596</c:v>
                </c:pt>
                <c:pt idx="21">
                  <c:v>20.44460261826946</c:v>
                </c:pt>
                <c:pt idx="22">
                  <c:v>20.492272387475325</c:v>
                </c:pt>
                <c:pt idx="23">
                  <c:v>20.539942156681189</c:v>
                </c:pt>
                <c:pt idx="24">
                  <c:v>20.587611925887053</c:v>
                </c:pt>
                <c:pt idx="25">
                  <c:v>20.635281695092917</c:v>
                </c:pt>
                <c:pt idx="26">
                  <c:v>20.682951464298782</c:v>
                </c:pt>
                <c:pt idx="27">
                  <c:v>20.730621233504646</c:v>
                </c:pt>
                <c:pt idx="28">
                  <c:v>20.77829100271051</c:v>
                </c:pt>
                <c:pt idx="29">
                  <c:v>20.825960771916375</c:v>
                </c:pt>
                <c:pt idx="30">
                  <c:v>20.873630541122239</c:v>
                </c:pt>
                <c:pt idx="31">
                  <c:v>20.921300310328103</c:v>
                </c:pt>
                <c:pt idx="32">
                  <c:v>20.968970079533968</c:v>
                </c:pt>
                <c:pt idx="33">
                  <c:v>21.016639848739832</c:v>
                </c:pt>
                <c:pt idx="34">
                  <c:v>21.064309617945696</c:v>
                </c:pt>
                <c:pt idx="35">
                  <c:v>21.11197938715156</c:v>
                </c:pt>
                <c:pt idx="36">
                  <c:v>21.159649156357425</c:v>
                </c:pt>
                <c:pt idx="37">
                  <c:v>21.207318925563289</c:v>
                </c:pt>
                <c:pt idx="38">
                  <c:v>21.254988694769153</c:v>
                </c:pt>
                <c:pt idx="39">
                  <c:v>21.302658463975018</c:v>
                </c:pt>
                <c:pt idx="40">
                  <c:v>21.350328233180882</c:v>
                </c:pt>
                <c:pt idx="41">
                  <c:v>21.39799800238675</c:v>
                </c:pt>
                <c:pt idx="42">
                  <c:v>21.445667771592614</c:v>
                </c:pt>
                <c:pt idx="43">
                  <c:v>21.493337540798478</c:v>
                </c:pt>
                <c:pt idx="44">
                  <c:v>21.541007310004343</c:v>
                </c:pt>
                <c:pt idx="45">
                  <c:v>21.588677079210207</c:v>
                </c:pt>
                <c:pt idx="46">
                  <c:v>21.636346848416071</c:v>
                </c:pt>
                <c:pt idx="47">
                  <c:v>21.684016617621936</c:v>
                </c:pt>
                <c:pt idx="48">
                  <c:v>21.7316863868278</c:v>
                </c:pt>
                <c:pt idx="49">
                  <c:v>21.779356156033664</c:v>
                </c:pt>
                <c:pt idx="50">
                  <c:v>21.827025925239528</c:v>
                </c:pt>
                <c:pt idx="51">
                  <c:v>21.874695694445393</c:v>
                </c:pt>
                <c:pt idx="52">
                  <c:v>21.922365463651257</c:v>
                </c:pt>
                <c:pt idx="53">
                  <c:v>21.970035232857121</c:v>
                </c:pt>
                <c:pt idx="54">
                  <c:v>22.017705002062986</c:v>
                </c:pt>
                <c:pt idx="55">
                  <c:v>22.065374771268853</c:v>
                </c:pt>
                <c:pt idx="56">
                  <c:v>22.113044540474714</c:v>
                </c:pt>
                <c:pt idx="57">
                  <c:v>22.160714309680579</c:v>
                </c:pt>
                <c:pt idx="58">
                  <c:v>22.20838407888645</c:v>
                </c:pt>
                <c:pt idx="59">
                  <c:v>22.256053848092314</c:v>
                </c:pt>
                <c:pt idx="60">
                  <c:v>22.303723617298179</c:v>
                </c:pt>
              </c:numCache>
            </c:numRef>
          </c:xVal>
          <c:yVal>
            <c:numRef>
              <c:f>'1F5N'!$AA$11:$AA$71</c:f>
              <c:numCache>
                <c:formatCode>0.00E+00</c:formatCode>
                <c:ptCount val="61"/>
                <c:pt idx="0">
                  <c:v>1.782308862352313E-2</c:v>
                </c:pt>
                <c:pt idx="1">
                  <c:v>2.1606972484097119E-2</c:v>
                </c:pt>
                <c:pt idx="2">
                  <c:v>2.6053554344344011E-2</c:v>
                </c:pt>
                <c:pt idx="3">
                  <c:v>3.1246555566620666E-2</c:v>
                </c:pt>
                <c:pt idx="4">
                  <c:v>3.72734359998994E-2</c:v>
                </c:pt>
                <c:pt idx="5">
                  <c:v>4.4224081073343149E-2</c:v>
                </c:pt>
                <c:pt idx="6">
                  <c:v>5.2189160932040644E-2</c:v>
                </c:pt>
                <c:pt idx="7">
                  <c:v>6.1258156152479128E-2</c:v>
                </c:pt>
                <c:pt idx="8">
                  <c:v>7.1517057168288406E-2</c:v>
                </c:pt>
                <c:pt idx="9">
                  <c:v>8.3045759136645067E-2</c:v>
                </c:pt>
                <c:pt idx="10">
                  <c:v>9.5915190185147881E-2</c:v>
                </c:pt>
                <c:pt idx="11">
                  <c:v>0.11018422823609295</c:v>
                </c:pt>
                <c:pt idx="12">
                  <c:v>0.12589647919029467</c:v>
                </c:pt>
                <c:pt idx="13">
                  <c:v>0.14307700630744893</c:v>
                </c:pt>
                <c:pt idx="14">
                  <c:v>0.16172911617885805</c:v>
                </c:pt>
                <c:pt idx="15">
                  <c:v>0.18183131972230179</c:v>
                </c:pt>
                <c:pt idx="16">
                  <c:v>0.20333459610119767</c:v>
                </c:pt>
                <c:pt idx="17">
                  <c:v>0.22616009240016852</c:v>
                </c:pt>
                <c:pt idx="18">
                  <c:v>0.25019739142109271</c:v>
                </c:pt>
                <c:pt idx="19">
                  <c:v>0.27530347343715705</c:v>
                </c:pt>
                <c:pt idx="20">
                  <c:v>0.30130248475786453</c:v>
                </c:pt>
                <c:pt idx="21">
                  <c:v>0.32798640643310945</c:v>
                </c:pt>
                <c:pt idx="22">
                  <c:v>0.35511669063588364</c:v>
                </c:pt>
                <c:pt idx="23">
                  <c:v>0.38242690086790554</c:v>
                </c:pt>
                <c:pt idx="24">
                  <c:v>0.409626356167198</c:v>
                </c:pt>
                <c:pt idx="25">
                  <c:v>0.43640474035000848</c:v>
                </c:pt>
                <c:pt idx="26">
                  <c:v>0.46243759668001272</c:v>
                </c:pt>
                <c:pt idx="27">
                  <c:v>0.4873925881355653</c:v>
                </c:pt>
                <c:pt idx="28">
                  <c:v>0.51093636567424372</c:v>
                </c:pt>
                <c:pt idx="29">
                  <c:v>0.53274185361505422</c:v>
                </c:pt>
                <c:pt idx="30">
                  <c:v>0.55249573440004918</c:v>
                </c:pt>
                <c:pt idx="31">
                  <c:v>0.56990589624831844</c:v>
                </c:pt>
                <c:pt idx="32">
                  <c:v>0.58470859791273999</c:v>
                </c:pt>
                <c:pt idx="33">
                  <c:v>0.59667510577833771</c:v>
                </c:pt>
                <c:pt idx="34">
                  <c:v>0.60561757026047991</c:v>
                </c:pt>
                <c:pt idx="35">
                  <c:v>0.61139393066403203</c:v>
                </c:pt>
                <c:pt idx="36">
                  <c:v>0.6139116695692094</c:v>
                </c:pt>
                <c:pt idx="37">
                  <c:v>0.61313027809030307</c:v>
                </c:pt>
                <c:pt idx="38">
                  <c:v>0.60906234020543715</c:v>
                </c:pt>
                <c:pt idx="39">
                  <c:v>0.60177319559492415</c:v>
                </c:pt>
                <c:pt idx="40">
                  <c:v>0.59137919361257651</c:v>
                </c:pt>
                <c:pt idx="41">
                  <c:v>0.5780446035944713</c:v>
                </c:pt>
                <c:pt idx="42">
                  <c:v>0.56197729616464087</c:v>
                </c:pt>
                <c:pt idx="43">
                  <c:v>0.54342335419119425</c:v>
                </c:pt>
                <c:pt idx="44">
                  <c:v>0.52266080856110109</c:v>
                </c:pt>
                <c:pt idx="45">
                  <c:v>0.49999272138886597</c:v>
                </c:pt>
                <c:pt idx="46">
                  <c:v>0.47573985657915641</c:v>
                </c:pt>
                <c:pt idx="47">
                  <c:v>0.45023318431461357</c:v>
                </c:pt>
                <c:pt idx="48">
                  <c:v>0.42380646210169592</c:v>
                </c:pt>
                <c:pt idx="49">
                  <c:v>0.39678912109508568</c:v>
                </c:pt>
                <c:pt idx="50">
                  <c:v>0.36949966364424136</c:v>
                </c:pt>
                <c:pt idx="51">
                  <c:v>0.34223974788111527</c:v>
                </c:pt>
                <c:pt idx="52">
                  <c:v>0.31528909951315109</c:v>
                </c:pt>
                <c:pt idx="53">
                  <c:v>0.28890135179774767</c:v>
                </c:pt>
                <c:pt idx="54">
                  <c:v>0.26330087400632629</c:v>
                </c:pt>
                <c:pt idx="55">
                  <c:v>0.23868060852647685</c:v>
                </c:pt>
                <c:pt idx="56">
                  <c:v>0.21520089891575192</c:v>
                </c:pt>
                <c:pt idx="57">
                  <c:v>0.19298925726532104</c:v>
                </c:pt>
                <c:pt idx="58">
                  <c:v>0.17214099038325212</c:v>
                </c:pt>
                <c:pt idx="59">
                  <c:v>0.15272058142404518</c:v>
                </c:pt>
                <c:pt idx="60">
                  <c:v>0.13476370714924452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8F-44C1-AA25-28FE157611D5}"/>
            </c:ext>
          </c:extLst>
        </c:ser>
        <c:ser>
          <c:idx val="6"/>
          <c:order val="6"/>
          <c:tx>
            <c:strRef>
              <c:f>'1F5N'!$K$4</c:f>
              <c:strCache>
                <c:ptCount val="1"/>
                <c:pt idx="0">
                  <c:v>jack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'1F5N'!$W$11:$W$71</c:f>
              <c:numCache>
                <c:formatCode>0.00</c:formatCode>
                <c:ptCount val="61"/>
                <c:pt idx="0">
                  <c:v>19.443537464946306</c:v>
                </c:pt>
                <c:pt idx="1">
                  <c:v>19.491207234152171</c:v>
                </c:pt>
                <c:pt idx="2">
                  <c:v>19.538877003358035</c:v>
                </c:pt>
                <c:pt idx="3">
                  <c:v>19.586546772563899</c:v>
                </c:pt>
                <c:pt idx="4">
                  <c:v>19.634216541769764</c:v>
                </c:pt>
                <c:pt idx="5">
                  <c:v>19.681886310975628</c:v>
                </c:pt>
                <c:pt idx="6">
                  <c:v>19.729556080181492</c:v>
                </c:pt>
                <c:pt idx="7">
                  <c:v>19.777225849387357</c:v>
                </c:pt>
                <c:pt idx="8">
                  <c:v>19.824895618593221</c:v>
                </c:pt>
                <c:pt idx="9">
                  <c:v>19.872565387799085</c:v>
                </c:pt>
                <c:pt idx="10">
                  <c:v>19.920235157004949</c:v>
                </c:pt>
                <c:pt idx="11">
                  <c:v>19.967904926210814</c:v>
                </c:pt>
                <c:pt idx="12">
                  <c:v>20.015574695416678</c:v>
                </c:pt>
                <c:pt idx="13">
                  <c:v>20.063244464622542</c:v>
                </c:pt>
                <c:pt idx="14">
                  <c:v>20.110914233828407</c:v>
                </c:pt>
                <c:pt idx="15">
                  <c:v>20.158584003034271</c:v>
                </c:pt>
                <c:pt idx="16">
                  <c:v>20.206253772240135</c:v>
                </c:pt>
                <c:pt idx="17">
                  <c:v>20.253923541445999</c:v>
                </c:pt>
                <c:pt idx="18">
                  <c:v>20.301593310651864</c:v>
                </c:pt>
                <c:pt idx="19">
                  <c:v>20.349263079857728</c:v>
                </c:pt>
                <c:pt idx="20">
                  <c:v>20.396932849063596</c:v>
                </c:pt>
                <c:pt idx="21">
                  <c:v>20.44460261826946</c:v>
                </c:pt>
                <c:pt idx="22">
                  <c:v>20.492272387475325</c:v>
                </c:pt>
                <c:pt idx="23">
                  <c:v>20.539942156681189</c:v>
                </c:pt>
                <c:pt idx="24">
                  <c:v>20.587611925887053</c:v>
                </c:pt>
                <c:pt idx="25">
                  <c:v>20.635281695092917</c:v>
                </c:pt>
                <c:pt idx="26">
                  <c:v>20.682951464298782</c:v>
                </c:pt>
                <c:pt idx="27">
                  <c:v>20.730621233504646</c:v>
                </c:pt>
                <c:pt idx="28">
                  <c:v>20.77829100271051</c:v>
                </c:pt>
                <c:pt idx="29">
                  <c:v>20.825960771916375</c:v>
                </c:pt>
                <c:pt idx="30">
                  <c:v>20.873630541122239</c:v>
                </c:pt>
                <c:pt idx="31">
                  <c:v>20.921300310328103</c:v>
                </c:pt>
                <c:pt idx="32">
                  <c:v>20.968970079533968</c:v>
                </c:pt>
                <c:pt idx="33">
                  <c:v>21.016639848739832</c:v>
                </c:pt>
                <c:pt idx="34">
                  <c:v>21.064309617945696</c:v>
                </c:pt>
                <c:pt idx="35">
                  <c:v>21.11197938715156</c:v>
                </c:pt>
                <c:pt idx="36">
                  <c:v>21.159649156357425</c:v>
                </c:pt>
                <c:pt idx="37">
                  <c:v>21.207318925563289</c:v>
                </c:pt>
                <c:pt idx="38">
                  <c:v>21.254988694769153</c:v>
                </c:pt>
                <c:pt idx="39">
                  <c:v>21.302658463975018</c:v>
                </c:pt>
                <c:pt idx="40">
                  <c:v>21.350328233180882</c:v>
                </c:pt>
                <c:pt idx="41">
                  <c:v>21.39799800238675</c:v>
                </c:pt>
                <c:pt idx="42">
                  <c:v>21.445667771592614</c:v>
                </c:pt>
                <c:pt idx="43">
                  <c:v>21.493337540798478</c:v>
                </c:pt>
                <c:pt idx="44">
                  <c:v>21.541007310004343</c:v>
                </c:pt>
                <c:pt idx="45">
                  <c:v>21.588677079210207</c:v>
                </c:pt>
                <c:pt idx="46">
                  <c:v>21.636346848416071</c:v>
                </c:pt>
                <c:pt idx="47">
                  <c:v>21.684016617621936</c:v>
                </c:pt>
                <c:pt idx="48">
                  <c:v>21.7316863868278</c:v>
                </c:pt>
                <c:pt idx="49">
                  <c:v>21.779356156033664</c:v>
                </c:pt>
                <c:pt idx="50">
                  <c:v>21.827025925239528</c:v>
                </c:pt>
                <c:pt idx="51">
                  <c:v>21.874695694445393</c:v>
                </c:pt>
                <c:pt idx="52">
                  <c:v>21.922365463651257</c:v>
                </c:pt>
                <c:pt idx="53">
                  <c:v>21.970035232857121</c:v>
                </c:pt>
                <c:pt idx="54">
                  <c:v>22.017705002062986</c:v>
                </c:pt>
                <c:pt idx="55">
                  <c:v>22.065374771268853</c:v>
                </c:pt>
                <c:pt idx="56">
                  <c:v>22.113044540474714</c:v>
                </c:pt>
                <c:pt idx="57">
                  <c:v>22.160714309680579</c:v>
                </c:pt>
                <c:pt idx="58">
                  <c:v>22.20838407888645</c:v>
                </c:pt>
                <c:pt idx="59">
                  <c:v>22.256053848092314</c:v>
                </c:pt>
                <c:pt idx="60">
                  <c:v>22.303723617298179</c:v>
                </c:pt>
              </c:numCache>
            </c:numRef>
          </c:xVal>
          <c:yVal>
            <c:numRef>
              <c:f>'1F5N'!$AB$11:$AB$71</c:f>
              <c:numCache>
                <c:formatCode>0.00E+00</c:formatCode>
                <c:ptCount val="61"/>
                <c:pt idx="0">
                  <c:v>3.031507594573352E-3</c:v>
                </c:pt>
                <c:pt idx="1">
                  <c:v>5.349183862858777E-3</c:v>
                </c:pt>
                <c:pt idx="2">
                  <c:v>9.1817871620464356E-3</c:v>
                </c:pt>
                <c:pt idx="3">
                  <c:v>1.5331256421369245E-2</c:v>
                </c:pt>
                <c:pt idx="4">
                  <c:v>2.4902279536560823E-2</c:v>
                </c:pt>
                <c:pt idx="5">
                  <c:v>3.9346969693853505E-2</c:v>
                </c:pt>
                <c:pt idx="6">
                  <c:v>6.0477566559752602E-2</c:v>
                </c:pt>
                <c:pt idx="7">
                  <c:v>9.0424924710122603E-2</c:v>
                </c:pt>
                <c:pt idx="8">
                  <c:v>0.13152031306556372</c:v>
                </c:pt>
                <c:pt idx="9">
                  <c:v>0.18608370418264805</c:v>
                </c:pt>
                <c:pt idx="10">
                  <c:v>0.25611480349780591</c:v>
                </c:pt>
                <c:pt idx="11">
                  <c:v>0.34290344706913173</c:v>
                </c:pt>
                <c:pt idx="12">
                  <c:v>0.4466011640862303</c:v>
                </c:pt>
                <c:pt idx="13">
                  <c:v>0.56582050370501979</c:v>
                </c:pt>
                <c:pt idx="14">
                  <c:v>0.69734604420522239</c:v>
                </c:pt>
                <c:pt idx="15">
                  <c:v>0.83604341918505987</c:v>
                </c:pt>
                <c:pt idx="16">
                  <c:v>0.97503488494544455</c:v>
                </c:pt>
                <c:pt idx="17">
                  <c:v>1.1061710957078856</c:v>
                </c:pt>
                <c:pt idx="18">
                  <c:v>1.2207740488228256</c:v>
                </c:pt>
                <c:pt idx="19">
                  <c:v>1.3105666167573184</c:v>
                </c:pt>
                <c:pt idx="20">
                  <c:v>1.3686542313754149</c:v>
                </c:pt>
                <c:pt idx="21">
                  <c:v>1.3903982677346518</c:v>
                </c:pt>
                <c:pt idx="22">
                  <c:v>1.3740278075161143</c:v>
                </c:pt>
                <c:pt idx="23">
                  <c:v>1.3208778469372544</c:v>
                </c:pt>
                <c:pt idx="24">
                  <c:v>1.2352094948132033</c:v>
                </c:pt>
                <c:pt idx="25">
                  <c:v>1.1236457581078969</c:v>
                </c:pt>
                <c:pt idx="26">
                  <c:v>0.99432656473465386</c:v>
                </c:pt>
                <c:pt idx="27">
                  <c:v>0.85593246345348983</c:v>
                </c:pt>
                <c:pt idx="28">
                  <c:v>0.71673858500237897</c:v>
                </c:pt>
                <c:pt idx="29">
                  <c:v>0.58383873081143656</c:v>
                </c:pt>
                <c:pt idx="30">
                  <c:v>0.46263219165397129</c:v>
                </c:pt>
                <c:pt idx="31">
                  <c:v>0.35660680556482222</c:v>
                </c:pt>
                <c:pt idx="32">
                  <c:v>0.26739558685260029</c:v>
                </c:pt>
                <c:pt idx="33">
                  <c:v>0.19504268815853099</c:v>
                </c:pt>
                <c:pt idx="34">
                  <c:v>0.13839357970743829</c:v>
                </c:pt>
                <c:pt idx="35">
                  <c:v>9.5524119330002016E-2</c:v>
                </c:pt>
                <c:pt idx="36">
                  <c:v>6.4138820984763936E-2</c:v>
                </c:pt>
                <c:pt idx="37">
                  <c:v>4.189283321059914E-2</c:v>
                </c:pt>
                <c:pt idx="38">
                  <c:v>2.661762629653083E-2</c:v>
                </c:pt>
                <c:pt idx="39">
                  <c:v>1.6451660720495833E-2</c:v>
                </c:pt>
                <c:pt idx="40">
                  <c:v>9.8914735979902385E-3</c:v>
                </c:pt>
                <c:pt idx="41">
                  <c:v>5.7852626164656739E-3</c:v>
                </c:pt>
                <c:pt idx="42">
                  <c:v>3.2915161515615038E-3</c:v>
                </c:pt>
                <c:pt idx="43">
                  <c:v>1.8217120597004955E-3</c:v>
                </c:pt>
                <c:pt idx="44">
                  <c:v>9.8078610981044349E-4</c:v>
                </c:pt>
                <c:pt idx="45">
                  <c:v>5.1366468705766005E-4</c:v>
                </c:pt>
                <c:pt idx="46">
                  <c:v>2.6169531295906469E-4</c:v>
                </c:pt>
                <c:pt idx="47">
                  <c:v>1.2969493292183079E-4</c:v>
                </c:pt>
                <c:pt idx="48">
                  <c:v>6.252603707586033E-5</c:v>
                </c:pt>
                <c:pt idx="49">
                  <c:v>2.9323082965395046E-5</c:v>
                </c:pt>
                <c:pt idx="50">
                  <c:v>1.3377322123180966E-5</c:v>
                </c:pt>
                <c:pt idx="51">
                  <c:v>5.9366243777583891E-6</c:v>
                </c:pt>
                <c:pt idx="52">
                  <c:v>2.5628358338249035E-6</c:v>
                </c:pt>
                <c:pt idx="53">
                  <c:v>1.076249182890349E-6</c:v>
                </c:pt>
                <c:pt idx="54">
                  <c:v>4.3965874125431158E-7</c:v>
                </c:pt>
                <c:pt idx="55">
                  <c:v>1.7471468922651818E-7</c:v>
                </c:pt>
                <c:pt idx="56">
                  <c:v>6.75388961573986E-8</c:v>
                </c:pt>
                <c:pt idx="57">
                  <c:v>2.5397403978570618E-8</c:v>
                </c:pt>
                <c:pt idx="58">
                  <c:v>9.2904238120519308E-9</c:v>
                </c:pt>
                <c:pt idx="59">
                  <c:v>3.3059216430099506E-9</c:v>
                </c:pt>
                <c:pt idx="60">
                  <c:v>1.1443540623754654E-9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8F-44C1-AA25-28FE157611D5}"/>
            </c:ext>
          </c:extLst>
        </c:ser>
        <c:ser>
          <c:idx val="7"/>
          <c:order val="7"/>
          <c:tx>
            <c:strRef>
              <c:f>'1F5N'!$L$4</c:f>
              <c:strCache>
                <c:ptCount val="1"/>
                <c:pt idx="0">
                  <c:v>sophie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'1F5N'!$W$11:$W$71</c:f>
              <c:numCache>
                <c:formatCode>0.00</c:formatCode>
                <c:ptCount val="61"/>
                <c:pt idx="0">
                  <c:v>19.443537464946306</c:v>
                </c:pt>
                <c:pt idx="1">
                  <c:v>19.491207234152171</c:v>
                </c:pt>
                <c:pt idx="2">
                  <c:v>19.538877003358035</c:v>
                </c:pt>
                <c:pt idx="3">
                  <c:v>19.586546772563899</c:v>
                </c:pt>
                <c:pt idx="4">
                  <c:v>19.634216541769764</c:v>
                </c:pt>
                <c:pt idx="5">
                  <c:v>19.681886310975628</c:v>
                </c:pt>
                <c:pt idx="6">
                  <c:v>19.729556080181492</c:v>
                </c:pt>
                <c:pt idx="7">
                  <c:v>19.777225849387357</c:v>
                </c:pt>
                <c:pt idx="8">
                  <c:v>19.824895618593221</c:v>
                </c:pt>
                <c:pt idx="9">
                  <c:v>19.872565387799085</c:v>
                </c:pt>
                <c:pt idx="10">
                  <c:v>19.920235157004949</c:v>
                </c:pt>
                <c:pt idx="11">
                  <c:v>19.967904926210814</c:v>
                </c:pt>
                <c:pt idx="12">
                  <c:v>20.015574695416678</c:v>
                </c:pt>
                <c:pt idx="13">
                  <c:v>20.063244464622542</c:v>
                </c:pt>
                <c:pt idx="14">
                  <c:v>20.110914233828407</c:v>
                </c:pt>
                <c:pt idx="15">
                  <c:v>20.158584003034271</c:v>
                </c:pt>
                <c:pt idx="16">
                  <c:v>20.206253772240135</c:v>
                </c:pt>
                <c:pt idx="17">
                  <c:v>20.253923541445999</c:v>
                </c:pt>
                <c:pt idx="18">
                  <c:v>20.301593310651864</c:v>
                </c:pt>
                <c:pt idx="19">
                  <c:v>20.349263079857728</c:v>
                </c:pt>
                <c:pt idx="20">
                  <c:v>20.396932849063596</c:v>
                </c:pt>
                <c:pt idx="21">
                  <c:v>20.44460261826946</c:v>
                </c:pt>
                <c:pt idx="22">
                  <c:v>20.492272387475325</c:v>
                </c:pt>
                <c:pt idx="23">
                  <c:v>20.539942156681189</c:v>
                </c:pt>
                <c:pt idx="24">
                  <c:v>20.587611925887053</c:v>
                </c:pt>
                <c:pt idx="25">
                  <c:v>20.635281695092917</c:v>
                </c:pt>
                <c:pt idx="26">
                  <c:v>20.682951464298782</c:v>
                </c:pt>
                <c:pt idx="27">
                  <c:v>20.730621233504646</c:v>
                </c:pt>
                <c:pt idx="28">
                  <c:v>20.77829100271051</c:v>
                </c:pt>
                <c:pt idx="29">
                  <c:v>20.825960771916375</c:v>
                </c:pt>
                <c:pt idx="30">
                  <c:v>20.873630541122239</c:v>
                </c:pt>
                <c:pt idx="31">
                  <c:v>20.921300310328103</c:v>
                </c:pt>
                <c:pt idx="32">
                  <c:v>20.968970079533968</c:v>
                </c:pt>
                <c:pt idx="33">
                  <c:v>21.016639848739832</c:v>
                </c:pt>
                <c:pt idx="34">
                  <c:v>21.064309617945696</c:v>
                </c:pt>
                <c:pt idx="35">
                  <c:v>21.11197938715156</c:v>
                </c:pt>
                <c:pt idx="36">
                  <c:v>21.159649156357425</c:v>
                </c:pt>
                <c:pt idx="37">
                  <c:v>21.207318925563289</c:v>
                </c:pt>
                <c:pt idx="38">
                  <c:v>21.254988694769153</c:v>
                </c:pt>
                <c:pt idx="39">
                  <c:v>21.302658463975018</c:v>
                </c:pt>
                <c:pt idx="40">
                  <c:v>21.350328233180882</c:v>
                </c:pt>
                <c:pt idx="41">
                  <c:v>21.39799800238675</c:v>
                </c:pt>
                <c:pt idx="42">
                  <c:v>21.445667771592614</c:v>
                </c:pt>
                <c:pt idx="43">
                  <c:v>21.493337540798478</c:v>
                </c:pt>
                <c:pt idx="44">
                  <c:v>21.541007310004343</c:v>
                </c:pt>
                <c:pt idx="45">
                  <c:v>21.588677079210207</c:v>
                </c:pt>
                <c:pt idx="46">
                  <c:v>21.636346848416071</c:v>
                </c:pt>
                <c:pt idx="47">
                  <c:v>21.684016617621936</c:v>
                </c:pt>
                <c:pt idx="48">
                  <c:v>21.7316863868278</c:v>
                </c:pt>
                <c:pt idx="49">
                  <c:v>21.779356156033664</c:v>
                </c:pt>
                <c:pt idx="50">
                  <c:v>21.827025925239528</c:v>
                </c:pt>
                <c:pt idx="51">
                  <c:v>21.874695694445393</c:v>
                </c:pt>
                <c:pt idx="52">
                  <c:v>21.922365463651257</c:v>
                </c:pt>
                <c:pt idx="53">
                  <c:v>21.970035232857121</c:v>
                </c:pt>
                <c:pt idx="54">
                  <c:v>22.017705002062986</c:v>
                </c:pt>
                <c:pt idx="55">
                  <c:v>22.065374771268853</c:v>
                </c:pt>
                <c:pt idx="56">
                  <c:v>22.113044540474714</c:v>
                </c:pt>
                <c:pt idx="57">
                  <c:v>22.160714309680579</c:v>
                </c:pt>
                <c:pt idx="58">
                  <c:v>22.20838407888645</c:v>
                </c:pt>
                <c:pt idx="59">
                  <c:v>22.256053848092314</c:v>
                </c:pt>
                <c:pt idx="60">
                  <c:v>22.303723617298179</c:v>
                </c:pt>
              </c:numCache>
            </c:numRef>
          </c:xVal>
          <c:yVal>
            <c:numRef>
              <c:f>'1F5N'!$AC$11:$AC$71</c:f>
              <c:numCache>
                <c:formatCode>0.00E+00</c:formatCode>
                <c:ptCount val="61"/>
                <c:pt idx="0">
                  <c:v>8.9567922958823846E-8</c:v>
                </c:pt>
                <c:pt idx="1">
                  <c:v>2.4682920445279921E-7</c:v>
                </c:pt>
                <c:pt idx="2">
                  <c:v>6.5886651212084325E-7</c:v>
                </c:pt>
                <c:pt idx="3">
                  <c:v>1.7035511427856761E-6</c:v>
                </c:pt>
                <c:pt idx="4">
                  <c:v>4.2664805357716597E-6</c:v>
                </c:pt>
                <c:pt idx="5">
                  <c:v>1.0350020545817144E-5</c:v>
                </c:pt>
                <c:pt idx="6">
                  <c:v>2.4320332372934772E-5</c:v>
                </c:pt>
                <c:pt idx="7">
                  <c:v>5.5354719023879044E-5</c:v>
                </c:pt>
                <c:pt idx="8">
                  <c:v>1.2203843963248821E-4</c:v>
                </c:pt>
                <c:pt idx="9">
                  <c:v>2.6061265007450504E-4</c:v>
                </c:pt>
                <c:pt idx="10">
                  <c:v>5.390774799121403E-4</c:v>
                </c:pt>
                <c:pt idx="11">
                  <c:v>1.0800994308415631E-3</c:v>
                </c:pt>
                <c:pt idx="12">
                  <c:v>2.0962020228842458E-3</c:v>
                </c:pt>
                <c:pt idx="13">
                  <c:v>3.9405730699958305E-3</c:v>
                </c:pt>
                <c:pt idx="14">
                  <c:v>7.1753400056543439E-3</c:v>
                </c:pt>
                <c:pt idx="15">
                  <c:v>1.2655591142531467E-2</c:v>
                </c:pt>
                <c:pt idx="16">
                  <c:v>2.1621172285065125E-2</c:v>
                </c:pt>
                <c:pt idx="17">
                  <c:v>3.5779386511825113E-2</c:v>
                </c:pt>
                <c:pt idx="18">
                  <c:v>5.7351316654514289E-2</c:v>
                </c:pt>
                <c:pt idx="19">
                  <c:v>8.9045247745814238E-2</c:v>
                </c:pt>
                <c:pt idx="20">
                  <c:v>0.13391676546664411</c:v>
                </c:pt>
                <c:pt idx="21">
                  <c:v>0.19508146414522737</c:v>
                </c:pt>
                <c:pt idx="22">
                  <c:v>0.27526684964893872</c:v>
                </c:pt>
                <c:pt idx="23">
                  <c:v>0.37622588229420617</c:v>
                </c:pt>
                <c:pt idx="24">
                  <c:v>0.49808134594968112</c:v>
                </c:pt>
                <c:pt idx="25">
                  <c:v>0.63871738212317886</c:v>
                </c:pt>
                <c:pt idx="26">
                  <c:v>0.79336683970765243</c:v>
                </c:pt>
                <c:pt idx="27">
                  <c:v>0.95454455400613325</c:v>
                </c:pt>
                <c:pt idx="28">
                  <c:v>1.1124364610265545</c:v>
                </c:pt>
                <c:pt idx="29">
                  <c:v>1.2557728119144309</c:v>
                </c:pt>
                <c:pt idx="30">
                  <c:v>1.3731051254082687</c:v>
                </c:pt>
                <c:pt idx="31">
                  <c:v>1.4542978132972115</c:v>
                </c:pt>
                <c:pt idx="32">
                  <c:v>1.4919688805412756</c:v>
                </c:pt>
                <c:pt idx="33">
                  <c:v>1.4825966999053735</c:v>
                </c:pt>
                <c:pt idx="34">
                  <c:v>1.4270629935995662</c:v>
                </c:pt>
                <c:pt idx="35">
                  <c:v>1.3305160263868494</c:v>
                </c:pt>
                <c:pt idx="36">
                  <c:v>1.2015834189718853</c:v>
                </c:pt>
                <c:pt idx="37">
                  <c:v>1.0511013505868361</c:v>
                </c:pt>
                <c:pt idx="38">
                  <c:v>0.89061932065496729</c:v>
                </c:pt>
                <c:pt idx="39">
                  <c:v>0.73096482926235062</c:v>
                </c:pt>
                <c:pt idx="40">
                  <c:v>0.58110913264756869</c:v>
                </c:pt>
                <c:pt idx="41">
                  <c:v>0.44748220684734663</c:v>
                </c:pt>
                <c:pt idx="42">
                  <c:v>0.33377260814846327</c:v>
                </c:pt>
                <c:pt idx="43">
                  <c:v>0.24114733363958935</c:v>
                </c:pt>
                <c:pt idx="44">
                  <c:v>0.16876061017976601</c:v>
                </c:pt>
                <c:pt idx="45">
                  <c:v>0.11439750704441951</c:v>
                </c:pt>
                <c:pt idx="46">
                  <c:v>7.5113653181674261E-2</c:v>
                </c:pt>
                <c:pt idx="47">
                  <c:v>4.7772509944937654E-2</c:v>
                </c:pt>
                <c:pt idx="48">
                  <c:v>2.9430259073592147E-2</c:v>
                </c:pt>
                <c:pt idx="49">
                  <c:v>1.7561716484257063E-2</c:v>
                </c:pt>
                <c:pt idx="50">
                  <c:v>1.0150716273968191E-2</c:v>
                </c:pt>
                <c:pt idx="51">
                  <c:v>5.6830734203620857E-3</c:v>
                </c:pt>
                <c:pt idx="52">
                  <c:v>3.0819578545655726E-3</c:v>
                </c:pt>
                <c:pt idx="53">
                  <c:v>1.6189259144526135E-3</c:v>
                </c:pt>
                <c:pt idx="54">
                  <c:v>8.2372852440524039E-4</c:v>
                </c:pt>
                <c:pt idx="55">
                  <c:v>4.0597387419065212E-4</c:v>
                </c:pt>
                <c:pt idx="56">
                  <c:v>1.9380675850383934E-4</c:v>
                </c:pt>
                <c:pt idx="57">
                  <c:v>8.9618279151283288E-5</c:v>
                </c:pt>
                <c:pt idx="58">
                  <c:v>4.0140348023625284E-5</c:v>
                </c:pt>
                <c:pt idx="59">
                  <c:v>1.7414961455096574E-5</c:v>
                </c:pt>
                <c:pt idx="60">
                  <c:v>7.3184776741329168E-6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68F-44C1-AA25-28FE1576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375168"/>
        <c:axId val="373377888"/>
      </c:scatterChart>
      <c:valAx>
        <c:axId val="37337516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377888"/>
        <c:crosses val="autoZero"/>
        <c:crossBetween val="midCat"/>
      </c:valAx>
      <c:valAx>
        <c:axId val="37337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375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Equivalence%</a:t>
            </a:r>
            <a:r>
              <a:rPr lang="en-US" baseline="0"/>
              <a:t> entre les niveaux d'un facteur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'1F5N'!$C$39:$C$40</c:f>
              <c:strCache>
                <c:ptCount val="2"/>
                <c:pt idx="0">
                  <c:v>opérateur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67-42E5-B7A9-AE634D853C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'1F5N'!$C$39:$C$40</c:f>
              <c:strCache>
                <c:ptCount val="1"/>
                <c:pt idx="0">
                  <c:v>opérateur</c:v>
                </c:pt>
              </c:strCache>
            </c:strRef>
          </c:cat>
          <c:val>
            <c:numRef>
              <c:f>'1F5N'!$M$39</c:f>
              <c:numCache>
                <c:formatCode>0%</c:formatCode>
                <c:ptCount val="1"/>
                <c:pt idx="0">
                  <c:v>0.25269273885581511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7-42E5-B7A9-AE634D853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376800"/>
        <c:axId val="373384960"/>
      </c:barChart>
      <c:catAx>
        <c:axId val="37337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384960"/>
        <c:crosses val="autoZero"/>
        <c:auto val="1"/>
        <c:lblAlgn val="ctr"/>
        <c:lblOffset val="100"/>
        <c:noMultiLvlLbl val="0"/>
      </c:catAx>
      <c:valAx>
        <c:axId val="3733849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37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4999999999998"/>
          <c:y val="2.8619528619528625E-2"/>
          <c:w val="0.85625000000000007"/>
          <c:h val="0.91919191919191923"/>
        </c:manualLayout>
      </c:layout>
      <c:scatterChart>
        <c:scatterStyle val="lineMarker"/>
        <c:varyColors val="0"/>
        <c:ser>
          <c:idx val="0"/>
          <c:order val="0"/>
          <c:tx>
            <c:strRef>
              <c:f>Récapitulatif!$B$17</c:f>
              <c:strCache>
                <c:ptCount val="1"/>
                <c:pt idx="0">
                  <c:v>Recouvrement (justesse)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Récapitulatif!$C$6:$G$6</c:f>
              <c:numCache>
                <c:formatCode>General</c:formatCode>
                <c:ptCount val="5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 formatCode="0">
                  <c:v>110</c:v>
                </c:pt>
                <c:pt idx="4">
                  <c:v>120</c:v>
                </c:pt>
              </c:numCache>
            </c:numRef>
          </c:xVal>
          <c:yVal>
            <c:numRef>
              <c:f>Récapitulatif!$C$17:$G$17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6C-41FD-A9AE-EFA82C75E133}"/>
            </c:ext>
          </c:extLst>
        </c:ser>
        <c:ser>
          <c:idx val="1"/>
          <c:order val="1"/>
          <c:tx>
            <c:strRef>
              <c:f>Récapitulatif!$B$18</c:f>
              <c:strCache>
                <c:ptCount val="1"/>
                <c:pt idx="0">
                  <c:v>Limite basse tolérance (%)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Récapitulatif!$C$6:$G$6</c:f>
              <c:numCache>
                <c:formatCode>General</c:formatCode>
                <c:ptCount val="5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 formatCode="0">
                  <c:v>110</c:v>
                </c:pt>
                <c:pt idx="4">
                  <c:v>120</c:v>
                </c:pt>
              </c:numCache>
            </c:numRef>
          </c:xVal>
          <c:yVal>
            <c:numRef>
              <c:f>Récapitulatif!$C$18:$G$18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6C-41FD-A9AE-EFA82C75E133}"/>
            </c:ext>
          </c:extLst>
        </c:ser>
        <c:ser>
          <c:idx val="2"/>
          <c:order val="2"/>
          <c:tx>
            <c:strRef>
              <c:f>Récapitulatif!$B$19</c:f>
              <c:strCache>
                <c:ptCount val="1"/>
                <c:pt idx="0">
                  <c:v>Limite haute tolérance (%)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Récapitulatif!$C$6:$G$6</c:f>
              <c:numCache>
                <c:formatCode>General</c:formatCode>
                <c:ptCount val="5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 formatCode="0">
                  <c:v>110</c:v>
                </c:pt>
                <c:pt idx="4">
                  <c:v>120</c:v>
                </c:pt>
              </c:numCache>
            </c:numRef>
          </c:xVal>
          <c:yVal>
            <c:numRef>
              <c:f>Récapitulatif!$C$19:$G$19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6C-41FD-A9AE-EFA82C75E133}"/>
            </c:ext>
          </c:extLst>
        </c:ser>
        <c:ser>
          <c:idx val="3"/>
          <c:order val="3"/>
          <c:tx>
            <c:strRef>
              <c:f>Récapitulatif!$B$20</c:f>
              <c:strCache>
                <c:ptCount val="1"/>
                <c:pt idx="0">
                  <c:v>Limite d'acceptabilité basse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Récapitulatif!$C$6:$G$6</c:f>
              <c:numCache>
                <c:formatCode>General</c:formatCode>
                <c:ptCount val="5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 formatCode="0">
                  <c:v>110</c:v>
                </c:pt>
                <c:pt idx="4">
                  <c:v>120</c:v>
                </c:pt>
              </c:numCache>
            </c:numRef>
          </c:xVal>
          <c:yVal>
            <c:numRef>
              <c:f>Récapitulatif!$C$20:$G$20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6C-41FD-A9AE-EFA82C75E133}"/>
            </c:ext>
          </c:extLst>
        </c:ser>
        <c:ser>
          <c:idx val="4"/>
          <c:order val="4"/>
          <c:tx>
            <c:strRef>
              <c:f>Récapitulatif!$B$21</c:f>
              <c:strCache>
                <c:ptCount val="1"/>
                <c:pt idx="0">
                  <c:v>Limite d'acceptabilité haute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Récapitulatif!$C$6:$G$6</c:f>
              <c:numCache>
                <c:formatCode>General</c:formatCode>
                <c:ptCount val="5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 formatCode="0">
                  <c:v>110</c:v>
                </c:pt>
                <c:pt idx="4">
                  <c:v>120</c:v>
                </c:pt>
              </c:numCache>
            </c:numRef>
          </c:xVal>
          <c:yVal>
            <c:numRef>
              <c:f>Récapitulatif!$C$21:$G$21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6C-41FD-A9AE-EFA82C75E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963104"/>
        <c:axId val="2063958752"/>
      </c:scatterChart>
      <c:valAx>
        <c:axId val="2063963104"/>
        <c:scaling>
          <c:orientation val="minMax"/>
          <c:min val="70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fr-FR"/>
                  <a:t>Niveaux</a:t>
                </a:r>
              </a:p>
            </c:rich>
          </c:tx>
          <c:layout>
            <c:manualLayout>
              <c:xMode val="edge"/>
              <c:yMode val="edge"/>
              <c:x val="0.86875000000000013"/>
              <c:y val="0.92255892255892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2063958752"/>
        <c:crossesAt val="1"/>
        <c:crossBetween val="midCat"/>
      </c:valAx>
      <c:valAx>
        <c:axId val="2063958752"/>
        <c:scaling>
          <c:orientation val="minMax"/>
          <c:max val="1.2"/>
          <c:min val="0.8"/>
        </c:scaling>
        <c:delete val="0"/>
        <c:axPos val="l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fr-FR"/>
                  <a:t>Exactitude (%)</a:t>
                </a:r>
              </a:p>
            </c:rich>
          </c:tx>
          <c:layout>
            <c:manualLayout>
              <c:xMode val="edge"/>
              <c:yMode val="edge"/>
              <c:x val="0"/>
              <c:y val="0.326555995357196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fr-FR"/>
          </a:p>
        </c:txPr>
        <c:crossAx val="20639631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249218583788484"/>
          <c:y val="0.74578482160133208"/>
          <c:w val="0.61770833333333341"/>
          <c:h val="0.1245791245791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theme="4" tint="0.59999389629810485"/>
  </sheetPr>
  <sheetViews>
    <sheetView zoomScale="5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748393</xdr:colOff>
      <xdr:row>16</xdr:row>
      <xdr:rowOff>46182</xdr:rowOff>
    </xdr:from>
    <xdr:to>
      <xdr:col>14</xdr:col>
      <xdr:colOff>217714</xdr:colOff>
      <xdr:row>31</xdr:row>
      <xdr:rowOff>124692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46184</xdr:colOff>
      <xdr:row>16</xdr:row>
      <xdr:rowOff>48556</xdr:rowOff>
    </xdr:from>
    <xdr:to>
      <xdr:col>9</xdr:col>
      <xdr:colOff>721178</xdr:colOff>
      <xdr:row>31</xdr:row>
      <xdr:rowOff>127001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244929</xdr:colOff>
      <xdr:row>16</xdr:row>
      <xdr:rowOff>34638</xdr:rowOff>
    </xdr:from>
    <xdr:to>
      <xdr:col>17</xdr:col>
      <xdr:colOff>1143001</xdr:colOff>
      <xdr:row>31</xdr:row>
      <xdr:rowOff>103911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</xdr:rowOff>
    </xdr:from>
    <xdr:to>
      <xdr:col>7</xdr:col>
      <xdr:colOff>0</xdr:colOff>
      <xdr:row>25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260725"/>
          <a:ext cx="7400925" cy="4762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Les données qui servent à construire le graphique du profil sont en bleu. </a:t>
          </a:r>
        </a:p>
        <a:p>
          <a:pPr algn="l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Il convient de modifier le graphique en fonction du nombre de niveaux en sélectionnant la zone correcte de données par la commande &lt;Données du graphique…&gt;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55545" cy="564572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ethodesdevalidation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3"/>
  <sheetViews>
    <sheetView showGridLines="0" tabSelected="1" zoomScale="70" zoomScaleNormal="70" workbookViewId="0">
      <selection activeCell="W19" sqref="W19"/>
    </sheetView>
  </sheetViews>
  <sheetFormatPr baseColWidth="10" defaultColWidth="10.85546875" defaultRowHeight="15" x14ac:dyDescent="0.25"/>
  <cols>
    <col min="1" max="1" width="5.5703125" style="41" customWidth="1"/>
    <col min="2" max="4" width="10.85546875" style="41"/>
    <col min="5" max="5" width="15.5703125" style="41" customWidth="1"/>
    <col min="6" max="6" width="17.7109375" style="41" customWidth="1"/>
    <col min="7" max="8" width="10.85546875" style="41"/>
    <col min="9" max="9" width="11.140625" style="41" bestFit="1" customWidth="1"/>
    <col min="10" max="10" width="12.42578125" style="41" bestFit="1" customWidth="1"/>
    <col min="11" max="11" width="11.140625" style="41" bestFit="1" customWidth="1"/>
    <col min="12" max="12" width="12.5703125" style="41" bestFit="1" customWidth="1"/>
    <col min="13" max="13" width="10.85546875" style="41"/>
    <col min="14" max="14" width="8.85546875" style="41" customWidth="1"/>
    <col min="15" max="15" width="9.42578125" style="41" customWidth="1"/>
    <col min="16" max="16" width="12.85546875" style="41" customWidth="1"/>
    <col min="17" max="17" width="10.85546875" style="41"/>
    <col min="18" max="18" width="17.42578125" style="41" customWidth="1"/>
    <col min="19" max="16384" width="10.85546875" style="41"/>
  </cols>
  <sheetData>
    <row r="1" spans="2:31" ht="15.75" thickBot="1" x14ac:dyDescent="0.3"/>
    <row r="2" spans="2:31" ht="15.75" thickBot="1" x14ac:dyDescent="0.3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2:31" x14ac:dyDescent="0.25">
      <c r="B3" s="82"/>
      <c r="C3" s="43"/>
      <c r="D3" s="43"/>
      <c r="E3" s="43"/>
      <c r="F3" s="43"/>
      <c r="G3" s="43"/>
      <c r="H3" s="83" t="s">
        <v>67</v>
      </c>
      <c r="I3" s="84"/>
      <c r="J3" s="84"/>
      <c r="K3" s="84"/>
      <c r="L3" s="85"/>
      <c r="M3" s="43"/>
      <c r="N3" s="43"/>
      <c r="O3" s="43"/>
      <c r="P3" s="43"/>
      <c r="Q3" s="43"/>
      <c r="R3" s="44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2:31" x14ac:dyDescent="0.25">
      <c r="B4" s="82"/>
      <c r="C4" s="86" t="s">
        <v>71</v>
      </c>
      <c r="D4" s="86"/>
      <c r="E4" s="86"/>
      <c r="F4" s="43"/>
      <c r="G4" s="87" t="s">
        <v>73</v>
      </c>
      <c r="H4" s="113" t="s">
        <v>74</v>
      </c>
      <c r="I4" s="88" t="s">
        <v>68</v>
      </c>
      <c r="J4" s="114" t="s">
        <v>69</v>
      </c>
      <c r="K4" s="115" t="s">
        <v>70</v>
      </c>
      <c r="L4" s="116" t="s">
        <v>72</v>
      </c>
      <c r="M4" s="43"/>
      <c r="N4" s="43"/>
      <c r="O4" s="43"/>
      <c r="P4" s="67" t="s">
        <v>87</v>
      </c>
      <c r="Q4" s="42">
        <v>20</v>
      </c>
      <c r="R4" s="44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2:31" x14ac:dyDescent="0.25">
      <c r="B5" s="82"/>
      <c r="C5" s="89" t="s">
        <v>67</v>
      </c>
      <c r="D5" s="90" t="s">
        <v>60</v>
      </c>
      <c r="E5" s="90"/>
      <c r="F5" s="43"/>
      <c r="G5" s="43">
        <v>1</v>
      </c>
      <c r="H5" s="70">
        <f ca="1">20+RAND()*2</f>
        <v>21.287147102586381</v>
      </c>
      <c r="I5" s="64">
        <f t="shared" ref="I5:K14" ca="1" si="0">20+RAND()</f>
        <v>20.486271313046537</v>
      </c>
      <c r="J5" s="64">
        <f ca="1">20+RAND()*2</f>
        <v>20.815089001847614</v>
      </c>
      <c r="K5" s="64">
        <f t="shared" ca="1" si="0"/>
        <v>20.723764417938437</v>
      </c>
      <c r="L5" s="71">
        <f ca="1">20.5+RAND()</f>
        <v>20.937726051519334</v>
      </c>
      <c r="M5" s="43"/>
      <c r="N5" s="91"/>
      <c r="O5" s="43"/>
      <c r="P5" s="67" t="s">
        <v>14</v>
      </c>
      <c r="Q5" s="42">
        <v>19</v>
      </c>
      <c r="R5" s="38">
        <f>+Q5</f>
        <v>19</v>
      </c>
      <c r="S5" s="39">
        <v>0</v>
      </c>
      <c r="T5" s="40">
        <f ca="1">MAX(X41,Y41,Z41,AA41,AB41,AC41)</f>
        <v>1.3731051254082687</v>
      </c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2:31" x14ac:dyDescent="0.25">
      <c r="B6" s="82"/>
      <c r="C6" s="43"/>
      <c r="D6" s="43"/>
      <c r="E6" s="43"/>
      <c r="F6" s="43"/>
      <c r="G6" s="43">
        <v>2</v>
      </c>
      <c r="H6" s="70">
        <f t="shared" ref="H6:L14" ca="1" si="1">20+RAND()*2</f>
        <v>21.214699469063174</v>
      </c>
      <c r="I6" s="64">
        <f t="shared" ca="1" si="0"/>
        <v>20.671529836444432</v>
      </c>
      <c r="J6" s="64">
        <f t="shared" ref="J6:J14" ca="1" si="2">20+RAND()*2</f>
        <v>21.44099797338826</v>
      </c>
      <c r="K6" s="64">
        <f t="shared" ca="1" si="0"/>
        <v>20.123956671341411</v>
      </c>
      <c r="L6" s="71">
        <f t="shared" ref="L6:L14" ca="1" si="3">20.5+RAND()</f>
        <v>20.788853631241242</v>
      </c>
      <c r="M6" s="43"/>
      <c r="N6" s="91"/>
      <c r="O6" s="43"/>
      <c r="P6" s="67" t="s">
        <v>13</v>
      </c>
      <c r="Q6" s="42">
        <v>22</v>
      </c>
      <c r="R6" s="38">
        <f>+Q6</f>
        <v>22</v>
      </c>
      <c r="S6" s="39">
        <v>0</v>
      </c>
      <c r="T6" s="40">
        <f ca="1">T5</f>
        <v>1.3731051254082687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2:31" x14ac:dyDescent="0.25">
      <c r="B7" s="82"/>
      <c r="C7" s="43" t="s">
        <v>75</v>
      </c>
      <c r="D7" s="43"/>
      <c r="E7" s="43"/>
      <c r="F7" s="43"/>
      <c r="G7" s="43">
        <v>3</v>
      </c>
      <c r="H7" s="70">
        <f t="shared" ca="1" si="1"/>
        <v>21.004531390957236</v>
      </c>
      <c r="I7" s="64">
        <f t="shared" ca="1" si="0"/>
        <v>20.760381692280845</v>
      </c>
      <c r="J7" s="64">
        <f t="shared" ca="1" si="2"/>
        <v>21.721038056646297</v>
      </c>
      <c r="K7" s="64">
        <f t="shared" ca="1" si="0"/>
        <v>20.386301325311781</v>
      </c>
      <c r="L7" s="71">
        <f t="shared" ca="1" si="3"/>
        <v>20.644423319396417</v>
      </c>
      <c r="M7" s="43"/>
      <c r="N7" s="91"/>
      <c r="O7" s="43"/>
      <c r="P7" s="43"/>
      <c r="Q7" s="43"/>
      <c r="R7" s="44"/>
      <c r="S7" s="39"/>
      <c r="T7" s="39"/>
      <c r="U7" s="39"/>
      <c r="V7" s="45"/>
      <c r="W7" s="78"/>
      <c r="X7" s="78"/>
      <c r="Y7" s="39"/>
      <c r="Z7" s="39"/>
      <c r="AA7" s="39"/>
      <c r="AB7" s="39"/>
      <c r="AC7" s="39"/>
      <c r="AD7" s="39"/>
      <c r="AE7" s="39"/>
    </row>
    <row r="8" spans="2:31" x14ac:dyDescent="0.25">
      <c r="B8" s="82"/>
      <c r="C8" s="43" t="s">
        <v>76</v>
      </c>
      <c r="D8" s="43"/>
      <c r="E8" s="43"/>
      <c r="F8" s="43"/>
      <c r="G8" s="43">
        <v>4</v>
      </c>
      <c r="H8" s="70">
        <f t="shared" ca="1" si="1"/>
        <v>20.189658053220626</v>
      </c>
      <c r="I8" s="64">
        <f t="shared" ca="1" si="0"/>
        <v>20.943269761863444</v>
      </c>
      <c r="J8" s="64">
        <f t="shared" ca="1" si="2"/>
        <v>21.915648359632922</v>
      </c>
      <c r="K8" s="64">
        <f t="shared" ca="1" si="0"/>
        <v>20.863939347775805</v>
      </c>
      <c r="L8" s="71">
        <f t="shared" ca="1" si="3"/>
        <v>20.803102616021857</v>
      </c>
      <c r="M8" s="43"/>
      <c r="N8" s="91"/>
      <c r="O8" s="43"/>
      <c r="P8" s="67" t="s">
        <v>15</v>
      </c>
      <c r="Q8" s="50">
        <f ca="1">AVERAGE(H5:L14)</f>
        <v>20.873630541122239</v>
      </c>
      <c r="R8" s="44"/>
      <c r="S8" s="39"/>
      <c r="T8" s="39"/>
      <c r="U8" s="39"/>
      <c r="V8" s="46"/>
      <c r="W8" s="47"/>
      <c r="X8" s="47"/>
      <c r="Y8" s="39"/>
      <c r="Z8" s="39"/>
      <c r="AA8" s="39"/>
      <c r="AB8" s="39"/>
      <c r="AC8" s="39"/>
      <c r="AD8" s="39"/>
      <c r="AE8" s="39"/>
    </row>
    <row r="9" spans="2:31" x14ac:dyDescent="0.25">
      <c r="B9" s="82"/>
      <c r="C9" s="43" t="s">
        <v>97</v>
      </c>
      <c r="D9" s="43"/>
      <c r="E9" s="43"/>
      <c r="F9" s="43"/>
      <c r="G9" s="43">
        <v>5</v>
      </c>
      <c r="H9" s="70">
        <f t="shared" ca="1" si="1"/>
        <v>21.017372919092303</v>
      </c>
      <c r="I9" s="64">
        <f t="shared" ca="1" si="0"/>
        <v>20.452894652879877</v>
      </c>
      <c r="J9" s="64">
        <f t="shared" ca="1" si="2"/>
        <v>20.074763584250856</v>
      </c>
      <c r="K9" s="64">
        <f t="shared" ca="1" si="0"/>
        <v>20.143492611326042</v>
      </c>
      <c r="L9" s="71">
        <f t="shared" ca="1" si="3"/>
        <v>21.160163651904504</v>
      </c>
      <c r="M9" s="43"/>
      <c r="N9" s="91"/>
      <c r="O9" s="43"/>
      <c r="P9" s="67" t="s">
        <v>64</v>
      </c>
      <c r="Q9" s="50">
        <f ca="1">I36</f>
        <v>0.22724068961403832</v>
      </c>
      <c r="R9" s="44"/>
      <c r="S9" s="39"/>
      <c r="T9" s="39"/>
      <c r="U9" s="39"/>
      <c r="V9" s="47"/>
      <c r="W9" s="47"/>
      <c r="X9" s="47"/>
      <c r="Y9" s="117">
        <f ca="1">AVERAGE(H5:H14)</f>
        <v>21.076353600347481</v>
      </c>
      <c r="Z9" s="117">
        <f t="shared" ref="Z9:AD9" ca="1" si="4">AVERAGE(I5:I14)</f>
        <v>20.688226681021582</v>
      </c>
      <c r="AA9" s="117">
        <f t="shared" ca="1" si="4"/>
        <v>21.172205773015779</v>
      </c>
      <c r="AB9" s="117">
        <f t="shared" ca="1" si="4"/>
        <v>20.447985811145969</v>
      </c>
      <c r="AC9" s="117">
        <f t="shared" ca="1" si="4"/>
        <v>20.98338084008039</v>
      </c>
      <c r="AD9" s="117"/>
      <c r="AE9" s="39"/>
    </row>
    <row r="10" spans="2:31" x14ac:dyDescent="0.25">
      <c r="B10" s="82"/>
      <c r="C10" s="43"/>
      <c r="D10" s="43"/>
      <c r="E10" s="43"/>
      <c r="F10" s="43"/>
      <c r="G10" s="43">
        <v>6</v>
      </c>
      <c r="H10" s="70">
        <f t="shared" ca="1" si="1"/>
        <v>21.067336525262796</v>
      </c>
      <c r="I10" s="64">
        <f t="shared" ca="1" si="0"/>
        <v>20.521955199255942</v>
      </c>
      <c r="J10" s="64">
        <f t="shared" ca="1" si="2"/>
        <v>20.399242143662615</v>
      </c>
      <c r="K10" s="64">
        <f t="shared" ca="1" si="0"/>
        <v>20.362511980047682</v>
      </c>
      <c r="L10" s="71">
        <f t="shared" ca="1" si="3"/>
        <v>21.150232769320603</v>
      </c>
      <c r="M10" s="43"/>
      <c r="N10" s="91"/>
      <c r="O10" s="43"/>
      <c r="P10" s="66" t="s">
        <v>65</v>
      </c>
      <c r="Q10" s="50">
        <f ca="1">SQRT(Q9)</f>
        <v>0.47669769205864454</v>
      </c>
      <c r="R10" s="44"/>
      <c r="S10" s="39"/>
      <c r="T10" s="39"/>
      <c r="U10" s="39"/>
      <c r="V10" s="39"/>
      <c r="W10" s="39"/>
      <c r="X10" s="39"/>
      <c r="Y10" s="117">
        <f ca="1">H15</f>
        <v>0.21989621582805707</v>
      </c>
      <c r="Z10" s="117">
        <f t="shared" ref="Z10:AC10" ca="1" si="5">I15</f>
        <v>4.396996971771245E-2</v>
      </c>
      <c r="AA10" s="117">
        <f t="shared" ca="1" si="5"/>
        <v>0.42212992630235191</v>
      </c>
      <c r="AB10" s="117">
        <f t="shared" ca="1" si="5"/>
        <v>8.231544053280937E-2</v>
      </c>
      <c r="AC10" s="117">
        <f t="shared" ca="1" si="5"/>
        <v>7.1291131673148281E-2</v>
      </c>
      <c r="AD10" s="39"/>
      <c r="AE10" s="39"/>
    </row>
    <row r="11" spans="2:31" x14ac:dyDescent="0.25">
      <c r="B11" s="82"/>
      <c r="C11" s="43" t="s">
        <v>88</v>
      </c>
      <c r="D11" s="43"/>
      <c r="E11" s="43"/>
      <c r="F11" s="43"/>
      <c r="G11" s="43">
        <v>7</v>
      </c>
      <c r="H11" s="70">
        <f t="shared" ca="1" si="1"/>
        <v>20.890672618175639</v>
      </c>
      <c r="I11" s="64">
        <f t="shared" ca="1" si="0"/>
        <v>20.91642293409296</v>
      </c>
      <c r="J11" s="64">
        <f t="shared" ca="1" si="2"/>
        <v>21.110011687722555</v>
      </c>
      <c r="K11" s="64">
        <f t="shared" ca="1" si="0"/>
        <v>20.080005026265095</v>
      </c>
      <c r="L11" s="71">
        <f t="shared" ca="1" si="3"/>
        <v>21.211313114552812</v>
      </c>
      <c r="M11" s="43"/>
      <c r="N11" s="91"/>
      <c r="O11" s="43"/>
      <c r="P11" s="66" t="s">
        <v>16</v>
      </c>
      <c r="Q11" s="50">
        <f ca="1">MIN(H5:L14)</f>
        <v>20.074763584250856</v>
      </c>
      <c r="R11" s="44"/>
      <c r="S11" s="39"/>
      <c r="T11" s="39"/>
      <c r="U11" s="39"/>
      <c r="V11" s="68">
        <v>-3</v>
      </c>
      <c r="W11" s="48">
        <f ca="1">Q$8+V11*SQRT(Q$9)</f>
        <v>19.443537464946306</v>
      </c>
      <c r="X11" s="49">
        <f ca="1">NORMDIST(W11,Q$8,SQRT(Q$9),0)</f>
        <v>9.2969789570385049E-3</v>
      </c>
      <c r="Y11" s="49">
        <f ca="1">NORMDIST($W11,Y$9,SQRT(Y$10),0)</f>
        <v>1.9817189512507188E-3</v>
      </c>
      <c r="Z11" s="49">
        <f t="shared" ref="Z11:AC11" ca="1" si="6">NORMDIST($W11,Z$9,SQRT(Z$10),0)</f>
        <v>4.2491323293680239E-8</v>
      </c>
      <c r="AA11" s="49">
        <f t="shared" ca="1" si="6"/>
        <v>1.782308862352313E-2</v>
      </c>
      <c r="AB11" s="49">
        <f t="shared" ca="1" si="6"/>
        <v>3.031507594573352E-3</v>
      </c>
      <c r="AC11" s="49">
        <f t="shared" ca="1" si="6"/>
        <v>8.9567922958823846E-8</v>
      </c>
      <c r="AD11" s="39"/>
      <c r="AE11" s="39"/>
    </row>
    <row r="12" spans="2:31" x14ac:dyDescent="0.25">
      <c r="B12" s="82"/>
      <c r="C12" s="43" t="s">
        <v>98</v>
      </c>
      <c r="D12" s="43"/>
      <c r="E12" s="43"/>
      <c r="F12" s="43"/>
      <c r="G12" s="43">
        <v>8</v>
      </c>
      <c r="H12" s="70">
        <f t="shared" ca="1" si="1"/>
        <v>21.449247219550781</v>
      </c>
      <c r="I12" s="64">
        <f t="shared" ca="1" si="0"/>
        <v>20.702253633998257</v>
      </c>
      <c r="J12" s="64">
        <f t="shared" ca="1" si="2"/>
        <v>21.904050641708206</v>
      </c>
      <c r="K12" s="64">
        <f t="shared" ca="1" si="0"/>
        <v>20.808782472609614</v>
      </c>
      <c r="L12" s="71">
        <f t="shared" ca="1" si="3"/>
        <v>21.318642006254532</v>
      </c>
      <c r="M12" s="43"/>
      <c r="N12" s="91"/>
      <c r="O12" s="43"/>
      <c r="P12" s="66" t="s">
        <v>17</v>
      </c>
      <c r="Q12" s="50">
        <f ca="1">MAX(H5:L14)</f>
        <v>21.964431387715685</v>
      </c>
      <c r="R12" s="44"/>
      <c r="S12" s="39"/>
      <c r="T12" s="39"/>
      <c r="U12" s="39"/>
      <c r="V12" s="68">
        <v>-2.9</v>
      </c>
      <c r="W12" s="48">
        <f ca="1">Q$8+V12*SQRT(Q$9)</f>
        <v>19.491207234152171</v>
      </c>
      <c r="X12" s="49">
        <f ca="1">NORMDIST(W12,Q$8,SQRT(Q$9),0)</f>
        <v>1.2487017493350041E-2</v>
      </c>
      <c r="Y12" s="49">
        <f t="shared" ref="Y12:AC71" ca="1" si="7">NORMDIST($W12,Y$9,SQRT(Y$10),0)</f>
        <v>2.8088199968496225E-3</v>
      </c>
      <c r="Z12" s="49">
        <f t="shared" ca="1" si="7"/>
        <v>1.5963365406659892E-7</v>
      </c>
      <c r="AA12" s="49">
        <f t="shared" ca="1" si="7"/>
        <v>2.1606972484097119E-2</v>
      </c>
      <c r="AB12" s="49">
        <f t="shared" ca="1" si="7"/>
        <v>5.349183862858777E-3</v>
      </c>
      <c r="AC12" s="49">
        <f t="shared" ca="1" si="7"/>
        <v>2.4682920445279921E-7</v>
      </c>
      <c r="AD12" s="39"/>
      <c r="AE12" s="39"/>
    </row>
    <row r="13" spans="2:31" x14ac:dyDescent="0.25">
      <c r="B13" s="82"/>
      <c r="C13" s="43"/>
      <c r="D13" s="43"/>
      <c r="E13" s="43"/>
      <c r="F13" s="43"/>
      <c r="G13" s="43">
        <v>9</v>
      </c>
      <c r="H13" s="70">
        <f t="shared" ca="1" si="1"/>
        <v>20.678439317850188</v>
      </c>
      <c r="I13" s="64">
        <f t="shared" ca="1" si="0"/>
        <v>20.441778182153318</v>
      </c>
      <c r="J13" s="64">
        <f t="shared" ca="1" si="2"/>
        <v>20.721085229430994</v>
      </c>
      <c r="K13" s="64">
        <f t="shared" ca="1" si="0"/>
        <v>20.412282920202177</v>
      </c>
      <c r="L13" s="71">
        <f t="shared" ca="1" si="3"/>
        <v>20.578018619406798</v>
      </c>
      <c r="M13" s="43"/>
      <c r="N13" s="91">
        <f ca="1">SUM(I10:L10)</f>
        <v>82.433942092286856</v>
      </c>
      <c r="O13" s="43"/>
      <c r="P13" s="66" t="s">
        <v>18</v>
      </c>
      <c r="Q13" s="50">
        <f ca="1">MIN((Q6-Q8)/(3*SQRT(Q9)),(Q8-Q5)/(3*SQRT(Q9)))</f>
        <v>0.78761968548905292</v>
      </c>
      <c r="R13" s="44"/>
      <c r="S13" s="39"/>
      <c r="T13" s="39"/>
      <c r="U13" s="39"/>
      <c r="V13" s="68">
        <v>-2.8</v>
      </c>
      <c r="W13" s="48">
        <f ca="1">Q$8+V13*SQRT(Q$9)</f>
        <v>19.538877003358035</v>
      </c>
      <c r="X13" s="49">
        <f ca="1">NORMDIST(W13,Q$8,SQRT(Q$9),0)</f>
        <v>1.6604761707145452E-2</v>
      </c>
      <c r="Y13" s="49">
        <f t="shared" ca="1" si="7"/>
        <v>3.9401953679494128E-3</v>
      </c>
      <c r="Z13" s="49">
        <f t="shared" ca="1" si="7"/>
        <v>5.6951337870419836E-7</v>
      </c>
      <c r="AA13" s="49">
        <f t="shared" ca="1" si="7"/>
        <v>2.6053554344344011E-2</v>
      </c>
      <c r="AB13" s="49">
        <f t="shared" ca="1" si="7"/>
        <v>9.1817871620464356E-3</v>
      </c>
      <c r="AC13" s="49">
        <f t="shared" ca="1" si="7"/>
        <v>6.5886651212084325E-7</v>
      </c>
      <c r="AD13" s="39"/>
      <c r="AE13" s="39"/>
    </row>
    <row r="14" spans="2:31" x14ac:dyDescent="0.25">
      <c r="B14" s="82"/>
      <c r="C14" s="43"/>
      <c r="D14" s="43"/>
      <c r="E14" s="43"/>
      <c r="F14" s="43"/>
      <c r="G14" s="43">
        <v>10</v>
      </c>
      <c r="H14" s="70">
        <f t="shared" ca="1" si="1"/>
        <v>21.964431387715685</v>
      </c>
      <c r="I14" s="64">
        <f t="shared" ca="1" si="0"/>
        <v>20.985509604200214</v>
      </c>
      <c r="J14" s="64">
        <f t="shared" ca="1" si="2"/>
        <v>21.62013105186745</v>
      </c>
      <c r="K14" s="64">
        <f t="shared" ca="1" si="0"/>
        <v>20.574821338641677</v>
      </c>
      <c r="L14" s="71">
        <f t="shared" ca="1" si="3"/>
        <v>21.241332621185776</v>
      </c>
      <c r="M14" s="43"/>
      <c r="N14" s="91">
        <f ca="1">SUM(I11:L11)</f>
        <v>83.317752762633418</v>
      </c>
      <c r="O14" s="43"/>
      <c r="P14" s="43"/>
      <c r="Q14" s="43"/>
      <c r="R14" s="44"/>
      <c r="S14" s="39"/>
      <c r="T14" s="39"/>
      <c r="U14" s="39"/>
      <c r="V14" s="68">
        <v>-2.7</v>
      </c>
      <c r="W14" s="48">
        <f ca="1">Q$8+V14*SQRT(Q$9)</f>
        <v>19.586546772563899</v>
      </c>
      <c r="X14" s="49">
        <f ca="1">NORMDIST(W14,Q$8,SQRT(Q$9),0)</f>
        <v>2.1860678136324224E-2</v>
      </c>
      <c r="Y14" s="49">
        <f t="shared" ca="1" si="7"/>
        <v>5.4704569653382428E-3</v>
      </c>
      <c r="Z14" s="49">
        <f t="shared" ca="1" si="7"/>
        <v>1.9294729034583257E-6</v>
      </c>
      <c r="AA14" s="49">
        <f t="shared" ca="1" si="7"/>
        <v>3.1246555566620666E-2</v>
      </c>
      <c r="AB14" s="49">
        <f t="shared" ca="1" si="7"/>
        <v>1.5331256421369245E-2</v>
      </c>
      <c r="AC14" s="49">
        <f t="shared" ca="1" si="7"/>
        <v>1.7035511427856761E-6</v>
      </c>
      <c r="AD14" s="39"/>
      <c r="AE14" s="39"/>
    </row>
    <row r="15" spans="2:31" ht="15.75" thickBot="1" x14ac:dyDescent="0.3">
      <c r="B15" s="92"/>
      <c r="C15" s="93"/>
      <c r="D15" s="93"/>
      <c r="E15" s="93"/>
      <c r="F15" s="93"/>
      <c r="G15" s="94" t="s">
        <v>101</v>
      </c>
      <c r="H15" s="72">
        <f ca="1">VAR(H5:H14)</f>
        <v>0.21989621582805707</v>
      </c>
      <c r="I15" s="73">
        <f t="shared" ref="I15:L15" ca="1" si="8">VAR(I5:I14)</f>
        <v>4.396996971771245E-2</v>
      </c>
      <c r="J15" s="73">
        <f t="shared" ca="1" si="8"/>
        <v>0.42212992630235191</v>
      </c>
      <c r="K15" s="73">
        <f t="shared" ca="1" si="8"/>
        <v>8.231544053280937E-2</v>
      </c>
      <c r="L15" s="74">
        <f t="shared" ca="1" si="8"/>
        <v>7.1291131673148281E-2</v>
      </c>
      <c r="M15" s="93"/>
      <c r="N15" s="95"/>
      <c r="O15" s="93"/>
      <c r="P15" s="93"/>
      <c r="Q15" s="93"/>
      <c r="R15" s="96"/>
      <c r="S15" s="39"/>
      <c r="T15" s="39"/>
      <c r="U15" s="39"/>
      <c r="V15" s="68">
        <v>-2.6</v>
      </c>
      <c r="W15" s="48">
        <f ca="1">Q$8+V15*SQRT(Q$9)</f>
        <v>19.634216541769764</v>
      </c>
      <c r="X15" s="49">
        <f ca="1">NORMDIST(W15,Q$8,SQRT(Q$9),0)</f>
        <v>2.8493885034405933E-2</v>
      </c>
      <c r="Y15" s="49">
        <f t="shared" ca="1" si="7"/>
        <v>7.5169464725529942E-3</v>
      </c>
      <c r="Z15" s="49">
        <f t="shared" ca="1" si="7"/>
        <v>6.2076713252784239E-6</v>
      </c>
      <c r="AA15" s="49">
        <f t="shared" ca="1" si="7"/>
        <v>3.72734359998994E-2</v>
      </c>
      <c r="AB15" s="49">
        <f t="shared" ca="1" si="7"/>
        <v>2.4902279536560823E-2</v>
      </c>
      <c r="AC15" s="49">
        <f t="shared" ca="1" si="7"/>
        <v>4.2664805357716597E-6</v>
      </c>
      <c r="AD15" s="39"/>
      <c r="AE15" s="39"/>
    </row>
    <row r="16" spans="2:31" x14ac:dyDescent="0.25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  <c r="O16" s="98"/>
      <c r="P16" s="98"/>
      <c r="Q16" s="98"/>
      <c r="R16" s="100"/>
      <c r="S16" s="39"/>
      <c r="T16" s="39"/>
      <c r="U16" s="39"/>
      <c r="V16" s="68">
        <v>-2.5</v>
      </c>
      <c r="W16" s="48">
        <f t="shared" ref="W16:W47" ca="1" si="9">Q$8+V16*SQRT(Q$9)</f>
        <v>19.681886310975628</v>
      </c>
      <c r="X16" s="49">
        <f t="shared" ref="X16:X47" ca="1" si="10">NORMDIST(W16,Q$8,SQRT(Q$9),0)</f>
        <v>3.6770265066465233E-2</v>
      </c>
      <c r="Y16" s="49">
        <f t="shared" ca="1" si="7"/>
        <v>1.0222834065240841E-2</v>
      </c>
      <c r="Z16" s="49">
        <f t="shared" ca="1" si="7"/>
        <v>1.8965924716734286E-5</v>
      </c>
      <c r="AA16" s="49">
        <f t="shared" ca="1" si="7"/>
        <v>4.4224081073343149E-2</v>
      </c>
      <c r="AB16" s="49">
        <f t="shared" ca="1" si="7"/>
        <v>3.9346969693853505E-2</v>
      </c>
      <c r="AC16" s="49">
        <f t="shared" ca="1" si="7"/>
        <v>1.0350020545817144E-5</v>
      </c>
      <c r="AD16" s="39"/>
      <c r="AE16" s="39"/>
    </row>
    <row r="17" spans="2:31" x14ac:dyDescent="0.25">
      <c r="B17" s="8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  <c r="S17" s="39"/>
      <c r="T17" s="39"/>
      <c r="U17" s="39"/>
      <c r="V17" s="68">
        <v>-2.4</v>
      </c>
      <c r="W17" s="48">
        <f t="shared" ca="1" si="9"/>
        <v>19.729556080181492</v>
      </c>
      <c r="X17" s="49">
        <f t="shared" ca="1" si="10"/>
        <v>4.6978474341109036E-2</v>
      </c>
      <c r="Y17" s="49">
        <f t="shared" ca="1" si="7"/>
        <v>1.3759833135660352E-2</v>
      </c>
      <c r="Z17" s="49">
        <f t="shared" ca="1" si="7"/>
        <v>5.5026844313827245E-5</v>
      </c>
      <c r="AA17" s="49">
        <f t="shared" ca="1" si="7"/>
        <v>5.2189160932040644E-2</v>
      </c>
      <c r="AB17" s="49">
        <f t="shared" ca="1" si="7"/>
        <v>6.0477566559752602E-2</v>
      </c>
      <c r="AC17" s="49">
        <f t="shared" ca="1" si="7"/>
        <v>2.4320332372934772E-5</v>
      </c>
      <c r="AD17" s="39"/>
      <c r="AE17" s="39"/>
    </row>
    <row r="18" spans="2:31" x14ac:dyDescent="0.25">
      <c r="B18" s="8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/>
      <c r="S18" s="39"/>
      <c r="T18" s="39"/>
      <c r="U18" s="39"/>
      <c r="V18" s="68">
        <v>-2.2999999999999998</v>
      </c>
      <c r="W18" s="48">
        <f t="shared" ca="1" si="9"/>
        <v>19.777225849387357</v>
      </c>
      <c r="X18" s="49">
        <f t="shared" ca="1" si="10"/>
        <v>5.9423484135761921E-2</v>
      </c>
      <c r="Y18" s="49">
        <f t="shared" ca="1" si="7"/>
        <v>1.8330192467192846E-2</v>
      </c>
      <c r="Z18" s="49">
        <f t="shared" ca="1" si="7"/>
        <v>1.5161091545589248E-4</v>
      </c>
      <c r="AA18" s="49">
        <f t="shared" ca="1" si="7"/>
        <v>6.1258156152479128E-2</v>
      </c>
      <c r="AB18" s="49">
        <f t="shared" ca="1" si="7"/>
        <v>9.0424924710122603E-2</v>
      </c>
      <c r="AC18" s="49">
        <f t="shared" ca="1" si="7"/>
        <v>5.5354719023879044E-5</v>
      </c>
      <c r="AD18" s="39"/>
      <c r="AE18" s="39"/>
    </row>
    <row r="19" spans="2:31" x14ac:dyDescent="0.25">
      <c r="B19" s="8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/>
      <c r="S19" s="39"/>
      <c r="T19" s="39"/>
      <c r="U19" s="39"/>
      <c r="V19" s="68">
        <v>-2.2000000000000002</v>
      </c>
      <c r="W19" s="48">
        <f t="shared" ca="1" si="9"/>
        <v>19.824895618593221</v>
      </c>
      <c r="X19" s="49">
        <f t="shared" ca="1" si="10"/>
        <v>7.4417379058481475E-2</v>
      </c>
      <c r="Y19" s="49">
        <f t="shared" ca="1" si="7"/>
        <v>2.4167564419362245E-2</v>
      </c>
      <c r="Z19" s="49">
        <f t="shared" ca="1" si="7"/>
        <v>3.966811923765206E-4</v>
      </c>
      <c r="AA19" s="49">
        <f t="shared" ca="1" si="7"/>
        <v>7.1517057168288406E-2</v>
      </c>
      <c r="AB19" s="49">
        <f t="shared" ca="1" si="7"/>
        <v>0.13152031306556372</v>
      </c>
      <c r="AC19" s="49">
        <f t="shared" ca="1" si="7"/>
        <v>1.2203843963248821E-4</v>
      </c>
      <c r="AD19" s="39"/>
      <c r="AE19" s="39"/>
    </row>
    <row r="20" spans="2:31" x14ac:dyDescent="0.25">
      <c r="B20" s="8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4"/>
      <c r="S20" s="39"/>
      <c r="T20" s="39"/>
      <c r="U20" s="39"/>
      <c r="V20" s="68">
        <v>-2.1</v>
      </c>
      <c r="W20" s="48">
        <f t="shared" ca="1" si="9"/>
        <v>19.872565387799085</v>
      </c>
      <c r="X20" s="49">
        <f t="shared" ca="1" si="10"/>
        <v>9.2267272766691263E-2</v>
      </c>
      <c r="Y20" s="49">
        <f t="shared" ca="1" si="7"/>
        <v>3.1536300608068425E-2</v>
      </c>
      <c r="Z20" s="49">
        <f t="shared" ca="1" si="7"/>
        <v>9.8561664053092163E-4</v>
      </c>
      <c r="AA20" s="49">
        <f t="shared" ca="1" si="7"/>
        <v>8.3045759136645067E-2</v>
      </c>
      <c r="AB20" s="49">
        <f t="shared" ca="1" si="7"/>
        <v>0.18608370418264805</v>
      </c>
      <c r="AC20" s="49">
        <f t="shared" ca="1" si="7"/>
        <v>2.6061265007450504E-4</v>
      </c>
      <c r="AD20" s="39"/>
      <c r="AE20" s="39"/>
    </row>
    <row r="21" spans="2:31" x14ac:dyDescent="0.25">
      <c r="B21" s="8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4"/>
      <c r="S21" s="39"/>
      <c r="T21" s="39"/>
      <c r="U21" s="39"/>
      <c r="V21" s="68">
        <v>-2</v>
      </c>
      <c r="W21" s="48">
        <f t="shared" ca="1" si="9"/>
        <v>19.920235157004949</v>
      </c>
      <c r="X21" s="49">
        <f t="shared" ca="1" si="10"/>
        <v>0.11326038999690785</v>
      </c>
      <c r="Y21" s="49">
        <f t="shared" ca="1" si="7"/>
        <v>4.0728705838607764E-2</v>
      </c>
      <c r="Z21" s="49">
        <f t="shared" ca="1" si="7"/>
        <v>2.3255716355870745E-3</v>
      </c>
      <c r="AA21" s="49">
        <f t="shared" ca="1" si="7"/>
        <v>9.5915190185147881E-2</v>
      </c>
      <c r="AB21" s="49">
        <f t="shared" ca="1" si="7"/>
        <v>0.25611480349780591</v>
      </c>
      <c r="AC21" s="49">
        <f t="shared" ca="1" si="7"/>
        <v>5.390774799121403E-4</v>
      </c>
      <c r="AD21" s="39"/>
      <c r="AE21" s="39"/>
    </row>
    <row r="22" spans="2:31" x14ac:dyDescent="0.25">
      <c r="B22" s="8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4"/>
      <c r="S22" s="39"/>
      <c r="T22" s="39"/>
      <c r="U22" s="39"/>
      <c r="V22" s="68">
        <v>-1.9</v>
      </c>
      <c r="W22" s="48">
        <f t="shared" ca="1" si="9"/>
        <v>19.967904926210814</v>
      </c>
      <c r="X22" s="49">
        <f t="shared" ca="1" si="10"/>
        <v>0.13764659629735362</v>
      </c>
      <c r="Y22" s="49">
        <f t="shared" ca="1" si="7"/>
        <v>5.2059797724800287E-2</v>
      </c>
      <c r="Z22" s="49">
        <f t="shared" ca="1" si="7"/>
        <v>5.210827467315454E-3</v>
      </c>
      <c r="AA22" s="49">
        <f t="shared" ca="1" si="7"/>
        <v>0.11018422823609295</v>
      </c>
      <c r="AB22" s="49">
        <f t="shared" ca="1" si="7"/>
        <v>0.34290344706913173</v>
      </c>
      <c r="AC22" s="49">
        <f t="shared" ca="1" si="7"/>
        <v>1.0800994308415631E-3</v>
      </c>
      <c r="AD22" s="39"/>
      <c r="AE22" s="39"/>
    </row>
    <row r="23" spans="2:31" x14ac:dyDescent="0.25">
      <c r="B23" s="8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4"/>
      <c r="S23" s="39"/>
      <c r="T23" s="39"/>
      <c r="U23" s="39"/>
      <c r="V23" s="68">
        <v>-1.8</v>
      </c>
      <c r="W23" s="48">
        <f t="shared" ca="1" si="9"/>
        <v>20.015574695416678</v>
      </c>
      <c r="X23" s="49">
        <f t="shared" ca="1" si="10"/>
        <v>0.16561892288578836</v>
      </c>
      <c r="Y23" s="49">
        <f t="shared" ca="1" si="7"/>
        <v>6.5859183804840418E-2</v>
      </c>
      <c r="Z23" s="49">
        <f t="shared" ca="1" si="7"/>
        <v>1.108763556853881E-2</v>
      </c>
      <c r="AA23" s="49">
        <f t="shared" ca="1" si="7"/>
        <v>0.12589647919029467</v>
      </c>
      <c r="AB23" s="49">
        <f t="shared" ca="1" si="7"/>
        <v>0.4466011640862303</v>
      </c>
      <c r="AC23" s="49">
        <f t="shared" ca="1" si="7"/>
        <v>2.0962020228842458E-3</v>
      </c>
      <c r="AD23" s="39"/>
      <c r="AE23" s="39"/>
    </row>
    <row r="24" spans="2:31" x14ac:dyDescent="0.25">
      <c r="B24" s="8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/>
      <c r="S24" s="39"/>
      <c r="T24" s="39"/>
      <c r="U24" s="39"/>
      <c r="V24" s="68">
        <v>-1.7</v>
      </c>
      <c r="W24" s="48">
        <f t="shared" ca="1" si="9"/>
        <v>20.063244464622542</v>
      </c>
      <c r="X24" s="49">
        <f t="shared" ca="1" si="10"/>
        <v>0.19729291528710918</v>
      </c>
      <c r="Y24" s="49">
        <f t="shared" ca="1" si="7"/>
        <v>8.245978801933726E-2</v>
      </c>
      <c r="Z24" s="49">
        <f t="shared" ca="1" si="7"/>
        <v>2.2404046717105018E-2</v>
      </c>
      <c r="AA24" s="49">
        <f t="shared" ca="1" si="7"/>
        <v>0.14307700630744893</v>
      </c>
      <c r="AB24" s="49">
        <f t="shared" ca="1" si="7"/>
        <v>0.56582050370501979</v>
      </c>
      <c r="AC24" s="49">
        <f t="shared" ca="1" si="7"/>
        <v>3.9405730699958305E-3</v>
      </c>
      <c r="AD24" s="39"/>
      <c r="AE24" s="39"/>
    </row>
    <row r="25" spans="2:31" x14ac:dyDescent="0.25">
      <c r="B25" s="8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39"/>
      <c r="T25" s="39"/>
      <c r="U25" s="39"/>
      <c r="V25" s="68">
        <v>-1.6</v>
      </c>
      <c r="W25" s="48">
        <f t="shared" ca="1" si="9"/>
        <v>20.110914233828407</v>
      </c>
      <c r="X25" s="49">
        <f t="shared" ca="1" si="10"/>
        <v>0.23268590666012579</v>
      </c>
      <c r="Y25" s="49">
        <f t="shared" ca="1" si="7"/>
        <v>0.10218333806673857</v>
      </c>
      <c r="Z25" s="49">
        <f t="shared" ca="1" si="7"/>
        <v>4.2990180991943058E-2</v>
      </c>
      <c r="AA25" s="49">
        <f t="shared" ca="1" si="7"/>
        <v>0.16172911617885805</v>
      </c>
      <c r="AB25" s="49">
        <f t="shared" ca="1" si="7"/>
        <v>0.69734604420522239</v>
      </c>
      <c r="AC25" s="49">
        <f t="shared" ca="1" si="7"/>
        <v>7.1753400056543439E-3</v>
      </c>
      <c r="AD25" s="39"/>
      <c r="AE25" s="39"/>
    </row>
    <row r="26" spans="2:31" x14ac:dyDescent="0.25">
      <c r="B26" s="8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4"/>
      <c r="S26" s="39"/>
      <c r="T26" s="39"/>
      <c r="U26" s="39"/>
      <c r="V26" s="68">
        <v>-1.5</v>
      </c>
      <c r="W26" s="48">
        <f t="shared" ca="1" si="9"/>
        <v>20.158584003034271</v>
      </c>
      <c r="X26" s="49">
        <f t="shared" ca="1" si="10"/>
        <v>0.27169755134865986</v>
      </c>
      <c r="Y26" s="49">
        <f t="shared" ca="1" si="7"/>
        <v>0.12532276255903332</v>
      </c>
      <c r="Z26" s="49">
        <f t="shared" ca="1" si="7"/>
        <v>7.8337075589504396E-2</v>
      </c>
      <c r="AA26" s="49">
        <f t="shared" ca="1" si="7"/>
        <v>0.18183131972230179</v>
      </c>
      <c r="AB26" s="49">
        <f t="shared" ca="1" si="7"/>
        <v>0.83604341918505987</v>
      </c>
      <c r="AC26" s="49">
        <f t="shared" ca="1" si="7"/>
        <v>1.2655591142531467E-2</v>
      </c>
      <c r="AD26" s="39"/>
      <c r="AE26" s="39"/>
    </row>
    <row r="27" spans="2:31" x14ac:dyDescent="0.25">
      <c r="B27" s="8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4"/>
      <c r="S27" s="39"/>
      <c r="T27" s="39"/>
      <c r="U27" s="39"/>
      <c r="V27" s="68">
        <v>-1.4</v>
      </c>
      <c r="W27" s="48">
        <f t="shared" ca="1" si="9"/>
        <v>20.206253772240135</v>
      </c>
      <c r="X27" s="49">
        <f t="shared" ca="1" si="10"/>
        <v>0.31409312050397853</v>
      </c>
      <c r="Y27" s="49">
        <f t="shared" ca="1" si="7"/>
        <v>0.15212193308604743</v>
      </c>
      <c r="Z27" s="49">
        <f t="shared" ca="1" si="7"/>
        <v>0.13555661436255403</v>
      </c>
      <c r="AA27" s="49">
        <f t="shared" ca="1" si="7"/>
        <v>0.20333459610119767</v>
      </c>
      <c r="AB27" s="49">
        <f t="shared" ca="1" si="7"/>
        <v>0.97503488494544455</v>
      </c>
      <c r="AC27" s="49">
        <f t="shared" ca="1" si="7"/>
        <v>2.1621172285065125E-2</v>
      </c>
      <c r="AD27" s="39"/>
      <c r="AE27" s="39"/>
    </row>
    <row r="28" spans="2:31" x14ac:dyDescent="0.25">
      <c r="B28" s="8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  <c r="S28" s="39"/>
      <c r="T28" s="39"/>
      <c r="U28" s="39"/>
      <c r="V28" s="68">
        <v>-1.3</v>
      </c>
      <c r="W28" s="48">
        <f t="shared" ca="1" si="9"/>
        <v>20.253923541445999</v>
      </c>
      <c r="X28" s="49">
        <f t="shared" ca="1" si="10"/>
        <v>0.35949113012849337</v>
      </c>
      <c r="Y28" s="49">
        <f t="shared" ca="1" si="7"/>
        <v>0.1827535043464884</v>
      </c>
      <c r="Z28" s="49">
        <f t="shared" ca="1" si="7"/>
        <v>0.22275596855131419</v>
      </c>
      <c r="AA28" s="49">
        <f t="shared" ca="1" si="7"/>
        <v>0.22616009240016852</v>
      </c>
      <c r="AB28" s="49">
        <f t="shared" ca="1" si="7"/>
        <v>1.1061710957078856</v>
      </c>
      <c r="AC28" s="49">
        <f t="shared" ca="1" si="7"/>
        <v>3.5779386511825113E-2</v>
      </c>
      <c r="AD28" s="39"/>
      <c r="AE28" s="39"/>
    </row>
    <row r="29" spans="2:31" x14ac:dyDescent="0.25">
      <c r="B29" s="8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4"/>
      <c r="S29" s="39"/>
      <c r="T29" s="39"/>
      <c r="U29" s="39"/>
      <c r="V29" s="68">
        <v>-1.2</v>
      </c>
      <c r="W29" s="48">
        <f t="shared" ca="1" si="9"/>
        <v>20.301593310651864</v>
      </c>
      <c r="X29" s="49">
        <f t="shared" ca="1" si="10"/>
        <v>0.40735681799634743</v>
      </c>
      <c r="Y29" s="49">
        <f t="shared" ca="1" si="7"/>
        <v>0.21729593065948466</v>
      </c>
      <c r="Z29" s="49">
        <f t="shared" ca="1" si="7"/>
        <v>0.34761080122479016</v>
      </c>
      <c r="AA29" s="49">
        <f t="shared" ca="1" si="7"/>
        <v>0.25019739142109271</v>
      </c>
      <c r="AB29" s="49">
        <f t="shared" ca="1" si="7"/>
        <v>1.2207740488228256</v>
      </c>
      <c r="AC29" s="49">
        <f t="shared" ca="1" si="7"/>
        <v>5.7351316654514289E-2</v>
      </c>
      <c r="AD29" s="39"/>
      <c r="AE29" s="39"/>
    </row>
    <row r="30" spans="2:31" x14ac:dyDescent="0.25">
      <c r="B30" s="8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4"/>
      <c r="S30" s="39"/>
      <c r="T30" s="39"/>
      <c r="U30" s="39"/>
      <c r="V30" s="68">
        <v>-1.1000000000000001</v>
      </c>
      <c r="W30" s="48">
        <f t="shared" ca="1" si="9"/>
        <v>20.349263079857728</v>
      </c>
      <c r="X30" s="49">
        <f t="shared" ca="1" si="10"/>
        <v>0.45700279372392866</v>
      </c>
      <c r="Y30" s="49">
        <f t="shared" ca="1" si="7"/>
        <v>0.25571103800370604</v>
      </c>
      <c r="Z30" s="49">
        <f t="shared" ca="1" si="7"/>
        <v>0.51512479340943118</v>
      </c>
      <c r="AA30" s="49">
        <f t="shared" ca="1" si="7"/>
        <v>0.27530347343715705</v>
      </c>
      <c r="AB30" s="49">
        <f t="shared" ca="1" si="7"/>
        <v>1.3105666167573184</v>
      </c>
      <c r="AC30" s="49">
        <f t="shared" ca="1" si="7"/>
        <v>8.9045247745814238E-2</v>
      </c>
      <c r="AD30" s="39"/>
      <c r="AE30" s="39"/>
    </row>
    <row r="31" spans="2:31" x14ac:dyDescent="0.25">
      <c r="B31" s="8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4"/>
      <c r="S31" s="39"/>
      <c r="T31" s="39"/>
      <c r="U31" s="39"/>
      <c r="V31" s="68">
        <v>-1</v>
      </c>
      <c r="W31" s="48">
        <f t="shared" ca="1" si="9"/>
        <v>20.396932849063596</v>
      </c>
      <c r="X31" s="49">
        <f t="shared" ca="1" si="10"/>
        <v>0.50759785195137108</v>
      </c>
      <c r="Y31" s="49">
        <f t="shared" ca="1" si="7"/>
        <v>0.29782377150092237</v>
      </c>
      <c r="Z31" s="49">
        <f t="shared" ca="1" si="7"/>
        <v>0.72491472466185891</v>
      </c>
      <c r="AA31" s="49">
        <f t="shared" ca="1" si="7"/>
        <v>0.30130248475786453</v>
      </c>
      <c r="AB31" s="49">
        <f t="shared" ca="1" si="7"/>
        <v>1.3686542313754149</v>
      </c>
      <c r="AC31" s="49">
        <f t="shared" ca="1" si="7"/>
        <v>0.13391676546664411</v>
      </c>
      <c r="AD31" s="39"/>
      <c r="AE31" s="39"/>
    </row>
    <row r="32" spans="2:31" ht="15.75" thickBot="1" x14ac:dyDescent="0.3"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6"/>
      <c r="S32" s="39"/>
      <c r="T32" s="39"/>
      <c r="U32" s="39"/>
      <c r="V32" s="68">
        <v>-0.9</v>
      </c>
      <c r="W32" s="48">
        <f t="shared" ca="1" si="9"/>
        <v>20.44460261826946</v>
      </c>
      <c r="X32" s="49">
        <f t="shared" ca="1" si="10"/>
        <v>0.55818447274131355</v>
      </c>
      <c r="Y32" s="49">
        <f t="shared" ca="1" si="7"/>
        <v>0.34330588237610771</v>
      </c>
      <c r="Z32" s="49">
        <f t="shared" ca="1" si="7"/>
        <v>0.96876104427179321</v>
      </c>
      <c r="AA32" s="49">
        <f t="shared" ca="1" si="7"/>
        <v>0.32798640643310945</v>
      </c>
      <c r="AB32" s="49">
        <f t="shared" ca="1" si="7"/>
        <v>1.3903982677346518</v>
      </c>
      <c r="AC32" s="49">
        <f t="shared" ca="1" si="7"/>
        <v>0.19508146414522737</v>
      </c>
      <c r="AD32" s="39"/>
      <c r="AE32" s="39"/>
    </row>
    <row r="33" spans="1:31" x14ac:dyDescent="0.25"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1"/>
      <c r="S33" s="39"/>
      <c r="T33" s="39"/>
      <c r="U33" s="39"/>
      <c r="V33" s="68">
        <v>-0.8</v>
      </c>
      <c r="W33" s="48">
        <f t="shared" ca="1" si="9"/>
        <v>20.492272387475325</v>
      </c>
      <c r="X33" s="49">
        <f t="shared" ca="1" si="10"/>
        <v>0.60770496183951483</v>
      </c>
      <c r="Y33" s="49">
        <f t="shared" ca="1" si="7"/>
        <v>0.39166533275619059</v>
      </c>
      <c r="Z33" s="49">
        <f t="shared" ca="1" si="7"/>
        <v>1.2294240069963176</v>
      </c>
      <c r="AA33" s="49">
        <f t="shared" ca="1" si="7"/>
        <v>0.35511669063588364</v>
      </c>
      <c r="AB33" s="49">
        <f t="shared" ca="1" si="7"/>
        <v>1.3740278075161143</v>
      </c>
      <c r="AC33" s="49">
        <f t="shared" ca="1" si="7"/>
        <v>0.27526684964893872</v>
      </c>
      <c r="AD33" s="39"/>
      <c r="AE33" s="39"/>
    </row>
    <row r="34" spans="1:31" x14ac:dyDescent="0.25">
      <c r="B34" s="82"/>
      <c r="C34" s="76" t="s">
        <v>57</v>
      </c>
      <c r="D34" s="76"/>
      <c r="E34" s="76"/>
      <c r="F34" s="76"/>
      <c r="G34" s="77" t="s">
        <v>58</v>
      </c>
      <c r="H34" s="77"/>
      <c r="I34" s="77"/>
      <c r="J34" s="77"/>
      <c r="K34" s="77"/>
      <c r="L34" s="77"/>
      <c r="M34" s="77"/>
      <c r="N34" s="77"/>
      <c r="O34" s="43"/>
      <c r="P34" s="43" t="s">
        <v>93</v>
      </c>
      <c r="Q34" s="43"/>
      <c r="R34" s="44"/>
      <c r="S34" s="39"/>
      <c r="T34" s="39"/>
      <c r="U34" s="39"/>
      <c r="V34" s="68">
        <v>-0.7</v>
      </c>
      <c r="W34" s="48">
        <f t="shared" ca="1" si="9"/>
        <v>20.539942156681189</v>
      </c>
      <c r="X34" s="49">
        <f t="shared" ca="1" si="10"/>
        <v>0.65503554678076237</v>
      </c>
      <c r="Y34" s="49">
        <f t="shared" ca="1" si="7"/>
        <v>0.44224305625048349</v>
      </c>
      <c r="Z34" s="49">
        <f t="shared" ca="1" si="7"/>
        <v>1.4816375953927912</v>
      </c>
      <c r="AA34" s="49">
        <f t="shared" ca="1" si="7"/>
        <v>0.38242690086790554</v>
      </c>
      <c r="AB34" s="49">
        <f t="shared" ca="1" si="7"/>
        <v>1.3208778469372544</v>
      </c>
      <c r="AC34" s="49">
        <f t="shared" ca="1" si="7"/>
        <v>0.37622588229420617</v>
      </c>
      <c r="AD34" s="39"/>
      <c r="AE34" s="39"/>
    </row>
    <row r="35" spans="1:31" x14ac:dyDescent="0.25">
      <c r="B35" s="82"/>
      <c r="C35" s="51" t="s">
        <v>0</v>
      </c>
      <c r="D35" s="51" t="s">
        <v>1</v>
      </c>
      <c r="E35" s="51" t="s">
        <v>8</v>
      </c>
      <c r="F35" s="51" t="s">
        <v>9</v>
      </c>
      <c r="G35" s="51" t="s">
        <v>2</v>
      </c>
      <c r="H35" s="51" t="s">
        <v>3</v>
      </c>
      <c r="I35" s="51" t="s">
        <v>4</v>
      </c>
      <c r="J35" s="51" t="s">
        <v>5</v>
      </c>
      <c r="K35" s="51" t="s">
        <v>6</v>
      </c>
      <c r="L35" s="52" t="s">
        <v>10</v>
      </c>
      <c r="M35" s="52" t="s">
        <v>55</v>
      </c>
      <c r="N35" s="51" t="s">
        <v>56</v>
      </c>
      <c r="O35" s="43"/>
      <c r="P35" s="75" t="s">
        <v>90</v>
      </c>
      <c r="Q35" s="75"/>
      <c r="R35" s="44"/>
      <c r="S35" s="39"/>
      <c r="T35" s="39"/>
      <c r="U35" s="39"/>
      <c r="V35" s="68">
        <v>-0.6</v>
      </c>
      <c r="W35" s="48">
        <f t="shared" ca="1" si="9"/>
        <v>20.587611925887053</v>
      </c>
      <c r="X35" s="49">
        <f t="shared" ca="1" si="10"/>
        <v>0.69902709503952432</v>
      </c>
      <c r="Y35" s="49">
        <f t="shared" ca="1" si="7"/>
        <v>0.49421840479744805</v>
      </c>
      <c r="Z35" s="49">
        <f t="shared" ca="1" si="7"/>
        <v>1.695655280648986</v>
      </c>
      <c r="AA35" s="49">
        <f t="shared" ca="1" si="7"/>
        <v>0.409626356167198</v>
      </c>
      <c r="AB35" s="49">
        <f t="shared" ca="1" si="7"/>
        <v>1.2352094948132033</v>
      </c>
      <c r="AC35" s="49">
        <f t="shared" ca="1" si="7"/>
        <v>0.49808134594968112</v>
      </c>
      <c r="AD35" s="39"/>
      <c r="AE35" s="39"/>
    </row>
    <row r="36" spans="1:31" x14ac:dyDescent="0.25">
      <c r="B36" s="82"/>
      <c r="C36" s="53" t="s">
        <v>11</v>
      </c>
      <c r="D36" s="53">
        <f ca="1">COUNT(H5:L14)</f>
        <v>50</v>
      </c>
      <c r="E36" s="54">
        <f ca="1">SUM(H5:L14)^2</f>
        <v>1089271.1299181776</v>
      </c>
      <c r="F36" s="54">
        <f ca="1">E36/D36</f>
        <v>21785.422598363552</v>
      </c>
      <c r="G36" s="55">
        <f ca="1">DEVSQ(H5:L14)</f>
        <v>11.134793791087878</v>
      </c>
      <c r="H36" s="53">
        <f ca="1">D36-1</f>
        <v>49</v>
      </c>
      <c r="I36" s="54">
        <f ca="1">G36/H36</f>
        <v>0.22724068961403832</v>
      </c>
      <c r="J36" s="53" t="s">
        <v>7</v>
      </c>
      <c r="K36" s="53" t="s">
        <v>7</v>
      </c>
      <c r="L36" s="56">
        <f ca="1">SUM(L38:L40)</f>
        <v>1</v>
      </c>
      <c r="M36" s="53" t="s">
        <v>7</v>
      </c>
      <c r="N36" s="53" t="s">
        <v>7</v>
      </c>
      <c r="O36" s="43"/>
      <c r="P36" s="67" t="s">
        <v>89</v>
      </c>
      <c r="Q36" s="101">
        <f ca="1">MAX(H15:L15)/SUM(H15:L15)</f>
        <v>0.50277343595909985</v>
      </c>
      <c r="R36" s="44"/>
      <c r="S36" s="39"/>
      <c r="T36" s="39"/>
      <c r="U36" s="39"/>
      <c r="V36" s="68">
        <v>-0.5</v>
      </c>
      <c r="W36" s="48">
        <f t="shared" ca="1" si="9"/>
        <v>20.635281695092917</v>
      </c>
      <c r="X36" s="49">
        <f t="shared" ca="1" si="10"/>
        <v>0.73855051666788396</v>
      </c>
      <c r="Y36" s="49">
        <f t="shared" ca="1" si="7"/>
        <v>0.54662414177080731</v>
      </c>
      <c r="Z36" s="49">
        <f t="shared" ca="1" si="7"/>
        <v>1.8428433568295777</v>
      </c>
      <c r="AA36" s="49">
        <f t="shared" ca="1" si="7"/>
        <v>0.43640474035000848</v>
      </c>
      <c r="AB36" s="49">
        <f t="shared" ca="1" si="7"/>
        <v>1.1236457581078969</v>
      </c>
      <c r="AC36" s="49">
        <f t="shared" ca="1" si="7"/>
        <v>0.63871738212317886</v>
      </c>
      <c r="AD36" s="39"/>
      <c r="AE36" s="39"/>
    </row>
    <row r="37" spans="1:31" x14ac:dyDescent="0.25">
      <c r="B37" s="82"/>
      <c r="C37" s="53" t="s">
        <v>12</v>
      </c>
      <c r="D37" s="53" t="s">
        <v>7</v>
      </c>
      <c r="E37" s="55" t="s">
        <v>7</v>
      </c>
      <c r="F37" s="54" t="s">
        <v>7</v>
      </c>
      <c r="G37" s="54">
        <f ca="1">SUM(G39)</f>
        <v>3.5783696346079523</v>
      </c>
      <c r="H37" s="57">
        <f ca="1">SUM(H39)</f>
        <v>4</v>
      </c>
      <c r="I37" s="54">
        <f ca="1">G37/H37</f>
        <v>0.89459240865198808</v>
      </c>
      <c r="J37" s="54">
        <f ca="1">I37/I38</f>
        <v>5.3274746832227278</v>
      </c>
      <c r="K37" s="54">
        <f ca="1">FINV(0.05,H37,H38)</f>
        <v>2.5787391843115586</v>
      </c>
      <c r="L37" s="56">
        <f ca="1">G37/G36</f>
        <v>0.32136828950276797</v>
      </c>
      <c r="M37" s="53" t="s">
        <v>7</v>
      </c>
      <c r="N37" s="53" t="s">
        <v>7</v>
      </c>
      <c r="O37" s="43"/>
      <c r="P37" s="67" t="s">
        <v>91</v>
      </c>
      <c r="Q37" s="101">
        <f ca="1">1/((1+(R46-1)/FINV(0.01/R46,R47-1,(R46)*(R47-1))))</f>
        <v>0.47213599930551325</v>
      </c>
      <c r="R37" s="44"/>
      <c r="S37" s="39"/>
      <c r="T37" s="39"/>
      <c r="U37" s="39"/>
      <c r="V37" s="68">
        <v>-0.4</v>
      </c>
      <c r="W37" s="48">
        <f t="shared" ca="1" si="9"/>
        <v>20.682951464298782</v>
      </c>
      <c r="X37" s="49">
        <f t="shared" ca="1" si="10"/>
        <v>0.77254441638458371</v>
      </c>
      <c r="Y37" s="49">
        <f t="shared" ca="1" si="7"/>
        <v>0.59837123019600313</v>
      </c>
      <c r="Z37" s="49">
        <f t="shared" ca="1" si="7"/>
        <v>1.9019301078778394</v>
      </c>
      <c r="AA37" s="49">
        <f t="shared" ca="1" si="7"/>
        <v>0.46243759668001272</v>
      </c>
      <c r="AB37" s="49">
        <f t="shared" ca="1" si="7"/>
        <v>0.99432656473465386</v>
      </c>
      <c r="AC37" s="49">
        <f t="shared" ca="1" si="7"/>
        <v>0.79336683970765243</v>
      </c>
      <c r="AD37" s="39"/>
      <c r="AE37" s="39"/>
    </row>
    <row r="38" spans="1:31" x14ac:dyDescent="0.25">
      <c r="B38" s="82"/>
      <c r="C38" s="53" t="s">
        <v>77</v>
      </c>
      <c r="D38" s="53" t="s">
        <v>7</v>
      </c>
      <c r="E38" s="54" t="s">
        <v>7</v>
      </c>
      <c r="F38" s="54" t="s">
        <v>7</v>
      </c>
      <c r="G38" s="54">
        <f ca="1">G36-G37</f>
        <v>7.5564241564799257</v>
      </c>
      <c r="H38" s="57">
        <f ca="1">H36-H37</f>
        <v>45</v>
      </c>
      <c r="I38" s="54">
        <f ca="1">G38/H38</f>
        <v>0.16792053681066502</v>
      </c>
      <c r="J38" s="54" t="s">
        <v>7</v>
      </c>
      <c r="K38" s="53" t="s">
        <v>7</v>
      </c>
      <c r="L38" s="56">
        <f ca="1">G38/G36</f>
        <v>0.67863171049723203</v>
      </c>
      <c r="M38" s="53" t="s">
        <v>7</v>
      </c>
      <c r="N38" s="53" t="s">
        <v>7</v>
      </c>
      <c r="O38" s="43"/>
      <c r="P38" s="43" t="s">
        <v>94</v>
      </c>
      <c r="Q38" s="43"/>
      <c r="R38" s="44"/>
      <c r="S38" s="39"/>
      <c r="T38" s="39"/>
      <c r="U38" s="39"/>
      <c r="V38" s="68">
        <v>-0.3</v>
      </c>
      <c r="W38" s="48">
        <f t="shared" ca="1" si="9"/>
        <v>20.730621233504646</v>
      </c>
      <c r="X38" s="49">
        <f t="shared" ca="1" si="10"/>
        <v>0.80006222353097733</v>
      </c>
      <c r="Y38" s="49">
        <f t="shared" ca="1" si="7"/>
        <v>0.64828295389247559</v>
      </c>
      <c r="Z38" s="49">
        <f t="shared" ca="1" si="7"/>
        <v>1.8640431558913955</v>
      </c>
      <c r="AA38" s="49">
        <f t="shared" ca="1" si="7"/>
        <v>0.4873925881355653</v>
      </c>
      <c r="AB38" s="49">
        <f t="shared" ca="1" si="7"/>
        <v>0.85593246345348983</v>
      </c>
      <c r="AC38" s="49">
        <f t="shared" ca="1" si="7"/>
        <v>0.95454455400613325</v>
      </c>
      <c r="AD38" s="39"/>
      <c r="AE38" s="39"/>
    </row>
    <row r="39" spans="1:31" x14ac:dyDescent="0.25">
      <c r="B39" s="82"/>
      <c r="C39" s="58" t="str">
        <f>D5</f>
        <v>opérateur</v>
      </c>
      <c r="D39" s="58">
        <f ca="1">COUNT(H5:L5)</f>
        <v>5</v>
      </c>
      <c r="E39" s="59">
        <f ca="1">SUM(H5:H14)^2+SUM(I5:I14)^2+SUM(J5:J14)^2+SUM(K5:K14)^2+SUM(L5:L14)^2</f>
        <v>217890.00967998159</v>
      </c>
      <c r="F39" s="60">
        <f ca="1">E39*D39/$D$36</f>
        <v>21789.000967998159</v>
      </c>
      <c r="G39" s="60">
        <f ca="1">F39-$F$36</f>
        <v>3.5783696346079523</v>
      </c>
      <c r="H39" s="58">
        <f ca="1">D39-1</f>
        <v>4</v>
      </c>
      <c r="I39" s="60">
        <f ca="1">G39/H39</f>
        <v>0.89459240865198808</v>
      </c>
      <c r="J39" s="60">
        <f ca="1">I39/I$38</f>
        <v>5.3274746832227278</v>
      </c>
      <c r="K39" s="60">
        <f ca="1">FINV(0.05,H39,H$38)</f>
        <v>2.5787391843115586</v>
      </c>
      <c r="L39" s="61">
        <f ca="1">G39/$G$36</f>
        <v>0.32136828950276797</v>
      </c>
      <c r="M39" s="61">
        <f ca="1">1-FDIST(K39/J39,H39,H$38)</f>
        <v>0.25269273885581511</v>
      </c>
      <c r="N39" s="61">
        <f ca="1">1-M39</f>
        <v>0.74730726114418489</v>
      </c>
      <c r="O39" s="43"/>
      <c r="P39" s="43" t="s">
        <v>100</v>
      </c>
      <c r="Q39" s="43"/>
      <c r="R39" s="44"/>
      <c r="S39" s="39"/>
      <c r="T39" s="39"/>
      <c r="U39" s="39"/>
      <c r="V39" s="68">
        <v>-0.2</v>
      </c>
      <c r="W39" s="48">
        <f t="shared" ca="1" si="9"/>
        <v>20.77829100271051</v>
      </c>
      <c r="X39" s="49">
        <f t="shared" ca="1" si="10"/>
        <v>0.82031589514670633</v>
      </c>
      <c r="Y39" s="49">
        <f t="shared" ca="1" si="7"/>
        <v>0.69513715517513963</v>
      </c>
      <c r="Z39" s="49">
        <f t="shared" ca="1" si="7"/>
        <v>1.7348928194948465</v>
      </c>
      <c r="AA39" s="49">
        <f t="shared" ca="1" si="7"/>
        <v>0.51093636567424372</v>
      </c>
      <c r="AB39" s="49">
        <f t="shared" ca="1" si="7"/>
        <v>0.71673858500237897</v>
      </c>
      <c r="AC39" s="49">
        <f t="shared" ca="1" si="7"/>
        <v>1.1124364610265545</v>
      </c>
      <c r="AD39" s="39"/>
      <c r="AE39" s="39"/>
    </row>
    <row r="40" spans="1:31" x14ac:dyDescent="0.25">
      <c r="B40" s="82"/>
      <c r="C40" s="43"/>
      <c r="D40" s="43"/>
      <c r="E40" s="43"/>
      <c r="F40" s="43"/>
      <c r="G40" s="43"/>
      <c r="H40" s="43"/>
      <c r="I40" s="43"/>
      <c r="J40" s="43" t="s">
        <v>96</v>
      </c>
      <c r="K40" s="43"/>
      <c r="L40" s="43"/>
      <c r="M40" s="43"/>
      <c r="N40" s="43"/>
      <c r="O40" s="43"/>
      <c r="P40" s="43"/>
      <c r="Q40" s="43"/>
      <c r="R40" s="44"/>
      <c r="S40" s="39"/>
      <c r="T40" s="39"/>
      <c r="U40" s="39"/>
      <c r="V40" s="68">
        <v>-0.1</v>
      </c>
      <c r="W40" s="48">
        <f t="shared" ca="1" si="9"/>
        <v>20.825960771916375</v>
      </c>
      <c r="X40" s="49">
        <f t="shared" ca="1" si="10"/>
        <v>0.83271338227535974</v>
      </c>
      <c r="Y40" s="49">
        <f t="shared" ca="1" si="7"/>
        <v>0.73771464340508008</v>
      </c>
      <c r="Z40" s="49">
        <f t="shared" ca="1" si="7"/>
        <v>1.5333617079773889</v>
      </c>
      <c r="AA40" s="49">
        <f t="shared" ca="1" si="7"/>
        <v>0.53274185361505422</v>
      </c>
      <c r="AB40" s="49">
        <f t="shared" ca="1" si="7"/>
        <v>0.58383873081143656</v>
      </c>
      <c r="AC40" s="49">
        <f t="shared" ca="1" si="7"/>
        <v>1.2557728119144309</v>
      </c>
      <c r="AD40" s="39"/>
      <c r="AE40" s="39"/>
    </row>
    <row r="41" spans="1:31" x14ac:dyDescent="0.25">
      <c r="B41" s="82"/>
      <c r="C41" s="69" t="s">
        <v>54</v>
      </c>
      <c r="D41" s="62">
        <f ca="1">L37</f>
        <v>0.32136828950276797</v>
      </c>
      <c r="E41" s="43" t="s">
        <v>95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/>
      <c r="S41" s="39"/>
      <c r="T41" s="39"/>
      <c r="U41" s="39"/>
      <c r="V41" s="68">
        <v>0</v>
      </c>
      <c r="W41" s="48">
        <f t="shared" ca="1" si="9"/>
        <v>20.873630541122239</v>
      </c>
      <c r="X41" s="49">
        <f t="shared" ca="1" si="10"/>
        <v>0.83688737547391734</v>
      </c>
      <c r="Y41" s="49">
        <f t="shared" ca="1" si="7"/>
        <v>0.7748511966529763</v>
      </c>
      <c r="Z41" s="49">
        <f t="shared" ca="1" si="7"/>
        <v>1.2869801691670979</v>
      </c>
      <c r="AA41" s="49">
        <f t="shared" ca="1" si="7"/>
        <v>0.55249573440004918</v>
      </c>
      <c r="AB41" s="49">
        <f t="shared" ca="1" si="7"/>
        <v>0.46263219165397129</v>
      </c>
      <c r="AC41" s="49">
        <f t="shared" ca="1" si="7"/>
        <v>1.3731051254082687</v>
      </c>
      <c r="AD41" s="39"/>
      <c r="AE41" s="39"/>
    </row>
    <row r="42" spans="1:31" x14ac:dyDescent="0.25">
      <c r="B42" s="82"/>
      <c r="C42" s="43"/>
      <c r="D42" s="43"/>
      <c r="E42" s="43"/>
      <c r="F42" s="43"/>
      <c r="G42" s="43"/>
      <c r="H42" s="43"/>
      <c r="I42" s="43"/>
      <c r="J42" s="43"/>
      <c r="K42" s="75" t="s">
        <v>80</v>
      </c>
      <c r="L42" s="75"/>
      <c r="M42" s="69" t="s">
        <v>86</v>
      </c>
      <c r="N42" s="43"/>
      <c r="O42" s="75" t="s">
        <v>81</v>
      </c>
      <c r="P42" s="75"/>
      <c r="Q42" s="75"/>
      <c r="R42" s="44"/>
      <c r="S42" s="39"/>
      <c r="T42" s="39"/>
      <c r="U42" s="39"/>
      <c r="V42" s="68">
        <v>0.1</v>
      </c>
      <c r="W42" s="48">
        <f t="shared" ca="1" si="9"/>
        <v>20.921300310328103</v>
      </c>
      <c r="X42" s="49">
        <f t="shared" ca="1" si="10"/>
        <v>0.83271338227535974</v>
      </c>
      <c r="Y42" s="49">
        <f t="shared" ca="1" si="7"/>
        <v>0.80549011297317186</v>
      </c>
      <c r="Z42" s="49">
        <f t="shared" ca="1" si="7"/>
        <v>1.0257803460688553</v>
      </c>
      <c r="AA42" s="49">
        <f t="shared" ca="1" si="7"/>
        <v>0.56990589624831844</v>
      </c>
      <c r="AB42" s="49">
        <f t="shared" ca="1" si="7"/>
        <v>0.35660680556482222</v>
      </c>
      <c r="AC42" s="49">
        <f t="shared" ca="1" si="7"/>
        <v>1.4542978132972115</v>
      </c>
      <c r="AD42" s="39"/>
      <c r="AE42" s="39"/>
    </row>
    <row r="43" spans="1:31" x14ac:dyDescent="0.25">
      <c r="B43" s="82"/>
      <c r="C43" s="69" t="s">
        <v>59</v>
      </c>
      <c r="D43" s="62">
        <f ca="1">(I36-I38)/I36</f>
        <v>0.26104547079190282</v>
      </c>
      <c r="E43" s="43" t="s">
        <v>62</v>
      </c>
      <c r="F43" s="43"/>
      <c r="G43" s="43"/>
      <c r="H43" s="43"/>
      <c r="I43" s="43"/>
      <c r="J43" s="43"/>
      <c r="K43" s="69" t="s">
        <v>78</v>
      </c>
      <c r="L43" s="102">
        <f ca="1">SQRT(I38)/Q8</f>
        <v>1.9631519452285886E-2</v>
      </c>
      <c r="M43" s="102">
        <f ca="1">SQRT(_xlfn.CHISQ.INV(0.95,H38)/H38)*L43</f>
        <v>2.2979266016461313E-2</v>
      </c>
      <c r="N43" s="43"/>
      <c r="O43" s="103" t="s">
        <v>82</v>
      </c>
      <c r="P43" s="104">
        <f ca="1">Q8-Q4</f>
        <v>0.87363054112223892</v>
      </c>
      <c r="Q43" s="105"/>
      <c r="R43" s="44"/>
      <c r="S43" s="39"/>
      <c r="T43" s="39"/>
      <c r="U43" s="39"/>
      <c r="V43" s="68">
        <v>0.2</v>
      </c>
      <c r="W43" s="48">
        <f t="shared" ca="1" si="9"/>
        <v>20.968970079533968</v>
      </c>
      <c r="X43" s="49">
        <f t="shared" ca="1" si="10"/>
        <v>0.82031589514670633</v>
      </c>
      <c r="Y43" s="49">
        <f t="shared" ca="1" si="7"/>
        <v>0.8287320253618311</v>
      </c>
      <c r="Z43" s="49">
        <f t="shared" ca="1" si="7"/>
        <v>0.776411876143282</v>
      </c>
      <c r="AA43" s="49">
        <f t="shared" ca="1" si="7"/>
        <v>0.58470859791273999</v>
      </c>
      <c r="AB43" s="49">
        <f t="shared" ca="1" si="7"/>
        <v>0.26739558685260029</v>
      </c>
      <c r="AC43" s="49">
        <f t="shared" ca="1" si="7"/>
        <v>1.4919688805412756</v>
      </c>
      <c r="AD43" s="39"/>
      <c r="AE43" s="39"/>
    </row>
    <row r="44" spans="1:31" x14ac:dyDescent="0.25">
      <c r="B44" s="82"/>
      <c r="C44" s="65"/>
      <c r="D44" s="43"/>
      <c r="E44" s="43"/>
      <c r="F44" s="43"/>
      <c r="G44" s="43"/>
      <c r="H44" s="43"/>
      <c r="I44" s="43"/>
      <c r="J44" s="43"/>
      <c r="K44" s="69" t="s">
        <v>79</v>
      </c>
      <c r="L44" s="102">
        <f ca="1">IF(I36&lt;I38,L43,SQRT(I36)/Q8)</f>
        <v>2.2837315775975003E-2</v>
      </c>
      <c r="M44" s="102">
        <f ca="1">SQRT(_xlfn.CHISQ.INV(0.95,H36)/H36)*L44</f>
        <v>2.6572372257967974E-2</v>
      </c>
      <c r="N44" s="43"/>
      <c r="O44" s="69" t="s">
        <v>83</v>
      </c>
      <c r="P44" s="101">
        <f ca="1">P43-TINV(0.05,H36)*Q10/SQRT(D36)</f>
        <v>0.73815455601710045</v>
      </c>
      <c r="Q44" s="101">
        <f ca="1">P43+TINV(0.05,H36)*Q10/SQRT(D36)</f>
        <v>1.0091065262273775</v>
      </c>
      <c r="R44" s="44"/>
      <c r="S44" s="39"/>
      <c r="T44" s="39"/>
      <c r="U44" s="39"/>
      <c r="V44" s="68">
        <v>0.3</v>
      </c>
      <c r="W44" s="48">
        <f t="shared" ca="1" si="9"/>
        <v>21.016639848739832</v>
      </c>
      <c r="X44" s="49">
        <f t="shared" ca="1" si="10"/>
        <v>0.80006222353097733</v>
      </c>
      <c r="Y44" s="49">
        <f t="shared" ca="1" si="7"/>
        <v>0.84387871308732088</v>
      </c>
      <c r="Z44" s="49">
        <f t="shared" ca="1" si="7"/>
        <v>0.55806558774397674</v>
      </c>
      <c r="AA44" s="49">
        <f t="shared" ca="1" si="7"/>
        <v>0.59667510577833771</v>
      </c>
      <c r="AB44" s="49">
        <f t="shared" ca="1" si="7"/>
        <v>0.19504268815853099</v>
      </c>
      <c r="AC44" s="49">
        <f t="shared" ca="1" si="7"/>
        <v>1.4825966999053735</v>
      </c>
      <c r="AD44" s="39"/>
      <c r="AE44" s="39"/>
    </row>
    <row r="45" spans="1:31" x14ac:dyDescent="0.25">
      <c r="B45" s="82"/>
      <c r="C45" s="69" t="s">
        <v>61</v>
      </c>
      <c r="D45" s="106">
        <f ca="1">TRUNC(SQRT(I36/I38)*SQRT(2),0)</f>
        <v>1</v>
      </c>
      <c r="E45" s="43" t="s">
        <v>63</v>
      </c>
      <c r="F45" s="43"/>
      <c r="G45" s="43"/>
      <c r="H45" s="43"/>
      <c r="I45" s="43"/>
      <c r="J45" s="43"/>
      <c r="K45" s="43"/>
      <c r="L45" s="43"/>
      <c r="M45" s="43"/>
      <c r="N45" s="43"/>
      <c r="O45" s="43" t="s">
        <v>99</v>
      </c>
      <c r="P45" s="43"/>
      <c r="Q45" s="43"/>
      <c r="R45" s="44"/>
      <c r="S45" s="39"/>
      <c r="T45" s="39"/>
      <c r="U45" s="39"/>
      <c r="V45" s="68">
        <v>0.4</v>
      </c>
      <c r="W45" s="48">
        <f t="shared" ca="1" si="9"/>
        <v>21.064309617945696</v>
      </c>
      <c r="X45" s="49">
        <f t="shared" ca="1" si="10"/>
        <v>0.77254441638458371</v>
      </c>
      <c r="Y45" s="49">
        <f t="shared" ca="1" si="7"/>
        <v>0.85046793443038726</v>
      </c>
      <c r="Z45" s="49">
        <f t="shared" ca="1" si="7"/>
        <v>0.38091984067243834</v>
      </c>
      <c r="AA45" s="49">
        <f t="shared" ca="1" si="7"/>
        <v>0.60561757026047991</v>
      </c>
      <c r="AB45" s="49">
        <f t="shared" ca="1" si="7"/>
        <v>0.13839357970743829</v>
      </c>
      <c r="AC45" s="49">
        <f t="shared" ca="1" si="7"/>
        <v>1.4270629935995662</v>
      </c>
      <c r="AD45" s="39"/>
      <c r="AE45" s="39"/>
    </row>
    <row r="46" spans="1:31" x14ac:dyDescent="0.25">
      <c r="B46" s="8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107" t="s">
        <v>92</v>
      </c>
      <c r="R46" s="108">
        <f ca="1">COUNT(H5:L5)</f>
        <v>5</v>
      </c>
      <c r="S46" s="39"/>
      <c r="T46" s="39"/>
      <c r="U46" s="39"/>
      <c r="V46" s="68">
        <v>0.5</v>
      </c>
      <c r="W46" s="48">
        <f t="shared" ca="1" si="9"/>
        <v>21.11197938715156</v>
      </c>
      <c r="X46" s="49">
        <f t="shared" ca="1" si="10"/>
        <v>0.73855051666788396</v>
      </c>
      <c r="Y46" s="49">
        <f t="shared" ca="1" si="7"/>
        <v>0.84829685681409528</v>
      </c>
      <c r="Z46" s="49">
        <f t="shared" ca="1" si="7"/>
        <v>0.2469091714474074</v>
      </c>
      <c r="AA46" s="49">
        <f t="shared" ca="1" si="7"/>
        <v>0.61139393066403203</v>
      </c>
      <c r="AB46" s="49">
        <f t="shared" ca="1" si="7"/>
        <v>9.5524119330002016E-2</v>
      </c>
      <c r="AC46" s="49">
        <f t="shared" ca="1" si="7"/>
        <v>1.3305160263868494</v>
      </c>
      <c r="AD46" s="39"/>
      <c r="AE46" s="39"/>
    </row>
    <row r="47" spans="1:31" ht="15.75" thickBot="1" x14ac:dyDescent="0.3"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109"/>
      <c r="M47" s="109"/>
      <c r="N47" s="93"/>
      <c r="O47" s="93"/>
      <c r="P47" s="93"/>
      <c r="Q47" s="110" t="s">
        <v>73</v>
      </c>
      <c r="R47" s="111">
        <f ca="1">COUNT(H5:H14)</f>
        <v>10</v>
      </c>
      <c r="S47" s="39"/>
      <c r="T47" s="39"/>
      <c r="U47" s="39"/>
      <c r="V47" s="68">
        <v>0.6</v>
      </c>
      <c r="W47" s="48">
        <f t="shared" ca="1" si="9"/>
        <v>21.159649156357425</v>
      </c>
      <c r="X47" s="49">
        <f t="shared" ca="1" si="10"/>
        <v>0.69902709503952432</v>
      </c>
      <c r="Y47" s="49">
        <f t="shared" ca="1" si="7"/>
        <v>0.83743242734605439</v>
      </c>
      <c r="Z47" s="49">
        <f t="shared" ca="1" si="7"/>
        <v>0.15198339010747006</v>
      </c>
      <c r="AA47" s="49">
        <f t="shared" ca="1" si="7"/>
        <v>0.6139116695692094</v>
      </c>
      <c r="AB47" s="49">
        <f t="shared" ca="1" si="7"/>
        <v>6.4138820984763936E-2</v>
      </c>
      <c r="AC47" s="49">
        <f t="shared" ca="1" si="7"/>
        <v>1.2015834189718853</v>
      </c>
      <c r="AD47" s="39"/>
      <c r="AE47" s="39"/>
    </row>
    <row r="48" spans="1:31" x14ac:dyDescent="0.25">
      <c r="A48" s="43"/>
      <c r="B48" s="112" t="s">
        <v>84</v>
      </c>
      <c r="N48" s="43"/>
      <c r="O48" s="43"/>
      <c r="P48" s="43"/>
      <c r="Q48" s="43"/>
      <c r="R48" s="65" t="s">
        <v>66</v>
      </c>
      <c r="S48" s="39"/>
      <c r="T48" s="39"/>
      <c r="U48" s="39"/>
      <c r="V48" s="68">
        <v>0.7</v>
      </c>
      <c r="W48" s="48">
        <f t="shared" ref="W48:W71" ca="1" si="11">Q$8+V48*SQRT(Q$9)</f>
        <v>21.207318925563289</v>
      </c>
      <c r="X48" s="49">
        <f t="shared" ref="X48:X71" ca="1" si="12">NORMDIST(W48,Q$8,SQRT(Q$9),0)</f>
        <v>0.65503554678076237</v>
      </c>
      <c r="Y48" s="49">
        <f t="shared" ca="1" si="7"/>
        <v>0.8182079439841814</v>
      </c>
      <c r="Z48" s="49">
        <f t="shared" ca="1" si="7"/>
        <v>8.8840360125204854E-2</v>
      </c>
      <c r="AA48" s="49">
        <f t="shared" ca="1" si="7"/>
        <v>0.61313027809030307</v>
      </c>
      <c r="AB48" s="49">
        <f t="shared" ca="1" si="7"/>
        <v>4.189283321059914E-2</v>
      </c>
      <c r="AC48" s="49">
        <f t="shared" ca="1" si="7"/>
        <v>1.0511013505868361</v>
      </c>
      <c r="AD48" s="39"/>
      <c r="AE48" s="39"/>
    </row>
    <row r="49" spans="1:31" x14ac:dyDescent="0.25">
      <c r="A49" s="43"/>
      <c r="B49" s="41" t="s">
        <v>85</v>
      </c>
      <c r="N49" s="43"/>
      <c r="O49" s="43"/>
      <c r="P49" s="43"/>
      <c r="Q49" s="43"/>
      <c r="R49" s="63">
        <v>42795</v>
      </c>
      <c r="S49" s="39"/>
      <c r="T49" s="39"/>
      <c r="U49" s="39"/>
      <c r="V49" s="68">
        <v>0.8</v>
      </c>
      <c r="W49" s="48">
        <f t="shared" ca="1" si="11"/>
        <v>21.254988694769153</v>
      </c>
      <c r="X49" s="49">
        <f t="shared" ca="1" si="12"/>
        <v>0.60770496183951483</v>
      </c>
      <c r="Y49" s="49">
        <f t="shared" ca="1" si="7"/>
        <v>0.79120607234610918</v>
      </c>
      <c r="Z49" s="49">
        <f t="shared" ca="1" si="7"/>
        <v>4.9315083235356293E-2</v>
      </c>
      <c r="AA49" s="49">
        <f t="shared" ca="1" si="7"/>
        <v>0.60906234020543715</v>
      </c>
      <c r="AB49" s="49">
        <f t="shared" ca="1" si="7"/>
        <v>2.661762629653083E-2</v>
      </c>
      <c r="AC49" s="49">
        <f t="shared" ca="1" si="7"/>
        <v>0.89061932065496729</v>
      </c>
      <c r="AD49" s="39"/>
      <c r="AE49" s="39"/>
    </row>
    <row r="50" spans="1:31" x14ac:dyDescent="0.25">
      <c r="A50" s="43"/>
      <c r="B50" s="43"/>
      <c r="M50" s="43"/>
      <c r="N50" s="43"/>
      <c r="O50" s="43"/>
      <c r="P50" s="43"/>
      <c r="Q50" s="43"/>
      <c r="S50" s="39"/>
      <c r="T50" s="39"/>
      <c r="U50" s="39"/>
      <c r="V50" s="68">
        <v>0.9</v>
      </c>
      <c r="W50" s="48">
        <f t="shared" ca="1" si="11"/>
        <v>21.302658463975018</v>
      </c>
      <c r="X50" s="49">
        <f t="shared" ca="1" si="12"/>
        <v>0.55818447274131355</v>
      </c>
      <c r="Y50" s="49">
        <f t="shared" ca="1" si="7"/>
        <v>0.75722951555667362</v>
      </c>
      <c r="Z50" s="49">
        <f t="shared" ca="1" si="7"/>
        <v>2.5995879066135902E-2</v>
      </c>
      <c r="AA50" s="49">
        <f t="shared" ca="1" si="7"/>
        <v>0.60177319559492415</v>
      </c>
      <c r="AB50" s="49">
        <f t="shared" ca="1" si="7"/>
        <v>1.6451660720495833E-2</v>
      </c>
      <c r="AC50" s="49">
        <f t="shared" ca="1" si="7"/>
        <v>0.73096482926235062</v>
      </c>
      <c r="AD50" s="39"/>
      <c r="AE50" s="39"/>
    </row>
    <row r="51" spans="1:31" x14ac:dyDescent="0.25">
      <c r="I51" s="43"/>
      <c r="J51" s="43"/>
      <c r="K51" s="43"/>
      <c r="L51" s="43"/>
      <c r="S51" s="39"/>
      <c r="T51" s="39"/>
      <c r="U51" s="39"/>
      <c r="V51" s="68">
        <v>1</v>
      </c>
      <c r="W51" s="48">
        <f t="shared" ca="1" si="11"/>
        <v>21.350328233180882</v>
      </c>
      <c r="X51" s="49">
        <f t="shared" ca="1" si="12"/>
        <v>0.50759785195137108</v>
      </c>
      <c r="Y51" s="49">
        <f t="shared" ca="1" si="7"/>
        <v>0.7172613969151197</v>
      </c>
      <c r="Z51" s="49">
        <f t="shared" ca="1" si="7"/>
        <v>1.3013212532211767E-2</v>
      </c>
      <c r="AA51" s="49">
        <f t="shared" ca="1" si="7"/>
        <v>0.59137919361257651</v>
      </c>
      <c r="AB51" s="49">
        <f t="shared" ca="1" si="7"/>
        <v>9.8914735979902385E-3</v>
      </c>
      <c r="AC51" s="49">
        <f t="shared" ca="1" si="7"/>
        <v>0.58110913264756869</v>
      </c>
      <c r="AD51" s="39"/>
      <c r="AE51" s="39"/>
    </row>
    <row r="52" spans="1:31" x14ac:dyDescent="0.25">
      <c r="S52" s="39"/>
      <c r="T52" s="39"/>
      <c r="U52" s="39"/>
      <c r="V52" s="68">
        <v>1.1000000000000001</v>
      </c>
      <c r="W52" s="48">
        <f t="shared" ca="1" si="11"/>
        <v>21.39799800238675</v>
      </c>
      <c r="X52" s="49">
        <f t="shared" ca="1" si="12"/>
        <v>0.45700279372392866</v>
      </c>
      <c r="Y52" s="49">
        <f t="shared" ca="1" si="7"/>
        <v>0.67241808221528665</v>
      </c>
      <c r="Z52" s="49">
        <f t="shared" ca="1" si="7"/>
        <v>6.1861410043291378E-3</v>
      </c>
      <c r="AA52" s="49">
        <f t="shared" ca="1" si="7"/>
        <v>0.5780446035944713</v>
      </c>
      <c r="AB52" s="49">
        <f t="shared" ca="1" si="7"/>
        <v>5.7852626164656739E-3</v>
      </c>
      <c r="AC52" s="49">
        <f t="shared" ca="1" si="7"/>
        <v>0.44748220684734663</v>
      </c>
      <c r="AD52" s="39"/>
      <c r="AE52" s="39"/>
    </row>
    <row r="53" spans="1:31" x14ac:dyDescent="0.25">
      <c r="I53" s="43"/>
      <c r="J53" s="43"/>
      <c r="K53" s="43"/>
      <c r="L53" s="43"/>
      <c r="S53" s="39"/>
      <c r="T53" s="39"/>
      <c r="U53" s="39"/>
      <c r="V53" s="68">
        <v>1.2</v>
      </c>
      <c r="W53" s="48">
        <f t="shared" ca="1" si="11"/>
        <v>21.445667771592614</v>
      </c>
      <c r="X53" s="49">
        <f t="shared" ca="1" si="12"/>
        <v>0.40735681799634743</v>
      </c>
      <c r="Y53" s="49">
        <f t="shared" ca="1" si="7"/>
        <v>0.62389759523081356</v>
      </c>
      <c r="Z53" s="49">
        <f t="shared" ca="1" si="7"/>
        <v>2.7926106144625534E-3</v>
      </c>
      <c r="AA53" s="49">
        <f t="shared" ca="1" si="7"/>
        <v>0.56197729616464087</v>
      </c>
      <c r="AB53" s="49">
        <f t="shared" ca="1" si="7"/>
        <v>3.2915161515615038E-3</v>
      </c>
      <c r="AC53" s="49">
        <f t="shared" ca="1" si="7"/>
        <v>0.33377260814846327</v>
      </c>
      <c r="AD53" s="39"/>
      <c r="AE53" s="39"/>
    </row>
    <row r="54" spans="1:31" x14ac:dyDescent="0.25">
      <c r="S54" s="39"/>
      <c r="T54" s="39"/>
      <c r="U54" s="39"/>
      <c r="V54" s="68">
        <v>1.3</v>
      </c>
      <c r="W54" s="48">
        <f t="shared" ca="1" si="11"/>
        <v>21.493337540798478</v>
      </c>
      <c r="X54" s="49">
        <f t="shared" ca="1" si="12"/>
        <v>0.35949113012849337</v>
      </c>
      <c r="Y54" s="49">
        <f t="shared" ca="1" si="7"/>
        <v>0.57292693694266428</v>
      </c>
      <c r="Z54" s="49">
        <f t="shared" ca="1" si="7"/>
        <v>1.1971711190627136E-3</v>
      </c>
      <c r="AA54" s="49">
        <f t="shared" ca="1" si="7"/>
        <v>0.54342335419119425</v>
      </c>
      <c r="AB54" s="49">
        <f t="shared" ca="1" si="7"/>
        <v>1.8217120597004955E-3</v>
      </c>
      <c r="AC54" s="49">
        <f t="shared" ca="1" si="7"/>
        <v>0.24114733363958935</v>
      </c>
      <c r="AD54" s="39"/>
      <c r="AE54" s="39"/>
    </row>
    <row r="55" spans="1:31" x14ac:dyDescent="0.25">
      <c r="I55" s="43"/>
      <c r="J55" s="43"/>
      <c r="K55" s="43"/>
      <c r="L55" s="43"/>
      <c r="S55" s="39"/>
      <c r="T55" s="39"/>
      <c r="U55" s="39"/>
      <c r="V55" s="68">
        <v>1.4</v>
      </c>
      <c r="W55" s="48">
        <f t="shared" ca="1" si="11"/>
        <v>21.541007310004343</v>
      </c>
      <c r="X55" s="49">
        <f t="shared" ca="1" si="12"/>
        <v>0.31409312050397853</v>
      </c>
      <c r="Y55" s="49">
        <f t="shared" ca="1" si="7"/>
        <v>0.52071150532104482</v>
      </c>
      <c r="Z55" s="49">
        <f t="shared" ca="1" si="7"/>
        <v>4.8736838703045913E-4</v>
      </c>
      <c r="AA55" s="49">
        <f t="shared" ca="1" si="7"/>
        <v>0.52266080856110109</v>
      </c>
      <c r="AB55" s="49">
        <f t="shared" ca="1" si="7"/>
        <v>9.8078610981044349E-4</v>
      </c>
      <c r="AC55" s="49">
        <f t="shared" ca="1" si="7"/>
        <v>0.16876061017976601</v>
      </c>
      <c r="AD55" s="39"/>
      <c r="AE55" s="39"/>
    </row>
    <row r="56" spans="1:31" x14ac:dyDescent="0.25">
      <c r="S56" s="39"/>
      <c r="T56" s="39"/>
      <c r="U56" s="39"/>
      <c r="V56" s="68">
        <v>1.5</v>
      </c>
      <c r="W56" s="48">
        <f t="shared" ca="1" si="11"/>
        <v>21.588677079210207</v>
      </c>
      <c r="X56" s="49">
        <f t="shared" ca="1" si="12"/>
        <v>0.27169755134865986</v>
      </c>
      <c r="Y56" s="49">
        <f t="shared" ca="1" si="7"/>
        <v>0.4683894534867647</v>
      </c>
      <c r="Z56" s="49">
        <f t="shared" ca="1" si="7"/>
        <v>1.8841425477542353E-4</v>
      </c>
      <c r="AA56" s="49">
        <f t="shared" ca="1" si="7"/>
        <v>0.49999272138886597</v>
      </c>
      <c r="AB56" s="49">
        <f t="shared" ca="1" si="7"/>
        <v>5.1366468705766005E-4</v>
      </c>
      <c r="AC56" s="49">
        <f t="shared" ca="1" si="7"/>
        <v>0.11439750704441951</v>
      </c>
      <c r="AD56" s="39"/>
      <c r="AE56" s="39"/>
    </row>
    <row r="57" spans="1:31" x14ac:dyDescent="0.25">
      <c r="I57" s="43"/>
      <c r="J57" s="43"/>
      <c r="K57" s="43"/>
      <c r="L57" s="43"/>
      <c r="S57" s="39"/>
      <c r="T57" s="39"/>
      <c r="U57" s="39"/>
      <c r="V57" s="68">
        <v>1.6</v>
      </c>
      <c r="W57" s="48">
        <f t="shared" ca="1" si="11"/>
        <v>21.636346848416071</v>
      </c>
      <c r="X57" s="49">
        <f t="shared" ca="1" si="12"/>
        <v>0.23268590666012579</v>
      </c>
      <c r="Y57" s="49">
        <f t="shared" ca="1" si="7"/>
        <v>0.41699326799955339</v>
      </c>
      <c r="Z57" s="49">
        <f t="shared" ca="1" si="7"/>
        <v>6.9171220034737222E-5</v>
      </c>
      <c r="AA57" s="49">
        <f t="shared" ca="1" si="7"/>
        <v>0.47573985657915641</v>
      </c>
      <c r="AB57" s="49">
        <f t="shared" ca="1" si="7"/>
        <v>2.6169531295906469E-4</v>
      </c>
      <c r="AC57" s="49">
        <f t="shared" ca="1" si="7"/>
        <v>7.5113653181674261E-2</v>
      </c>
      <c r="AD57" s="39"/>
      <c r="AE57" s="39"/>
    </row>
    <row r="58" spans="1:31" x14ac:dyDescent="0.25">
      <c r="S58" s="39"/>
      <c r="T58" s="39"/>
      <c r="U58" s="39"/>
      <c r="V58" s="68">
        <v>1.7</v>
      </c>
      <c r="W58" s="48">
        <f t="shared" ca="1" si="11"/>
        <v>21.684016617621936</v>
      </c>
      <c r="X58" s="49">
        <f t="shared" ca="1" si="12"/>
        <v>0.19729291528710918</v>
      </c>
      <c r="Y58" s="49">
        <f t="shared" ca="1" si="7"/>
        <v>0.36742015981851001</v>
      </c>
      <c r="Z58" s="49">
        <f t="shared" ca="1" si="7"/>
        <v>2.4115284617161553E-5</v>
      </c>
      <c r="AA58" s="49">
        <f t="shared" ca="1" si="7"/>
        <v>0.45023318431461357</v>
      </c>
      <c r="AB58" s="49">
        <f t="shared" ca="1" si="7"/>
        <v>1.2969493292183079E-4</v>
      </c>
      <c r="AC58" s="49">
        <f t="shared" ca="1" si="7"/>
        <v>4.7772509944937654E-2</v>
      </c>
      <c r="AD58" s="39"/>
      <c r="AE58" s="39"/>
    </row>
    <row r="59" spans="1:31" x14ac:dyDescent="0.25">
      <c r="S59" s="39"/>
      <c r="T59" s="39"/>
      <c r="U59" s="39"/>
      <c r="V59" s="68">
        <v>1.8</v>
      </c>
      <c r="W59" s="48">
        <f t="shared" ca="1" si="11"/>
        <v>21.7316863868278</v>
      </c>
      <c r="X59" s="49">
        <f t="shared" ca="1" si="12"/>
        <v>0.16561892288578836</v>
      </c>
      <c r="Y59" s="49">
        <f t="shared" ca="1" si="7"/>
        <v>0.3204121098926736</v>
      </c>
      <c r="Z59" s="49">
        <f t="shared" ca="1" si="7"/>
        <v>7.9838914854743268E-6</v>
      </c>
      <c r="AA59" s="49">
        <f t="shared" ca="1" si="7"/>
        <v>0.42380646210169592</v>
      </c>
      <c r="AB59" s="49">
        <f t="shared" ca="1" si="7"/>
        <v>6.252603707586033E-5</v>
      </c>
      <c r="AC59" s="49">
        <f t="shared" ca="1" si="7"/>
        <v>2.9430259073592147E-2</v>
      </c>
      <c r="AD59" s="39"/>
      <c r="AE59" s="39"/>
    </row>
    <row r="60" spans="1:31" x14ac:dyDescent="0.25">
      <c r="S60" s="39"/>
      <c r="T60" s="39"/>
      <c r="U60" s="39"/>
      <c r="V60" s="68">
        <v>1.9</v>
      </c>
      <c r="W60" s="48">
        <f t="shared" ca="1" si="11"/>
        <v>21.779356156033664</v>
      </c>
      <c r="X60" s="49">
        <f t="shared" ca="1" si="12"/>
        <v>0.13764659629735362</v>
      </c>
      <c r="Y60" s="49">
        <f t="shared" ca="1" si="7"/>
        <v>0.27654567056698104</v>
      </c>
      <c r="Z60" s="49">
        <f t="shared" ca="1" si="7"/>
        <v>2.5101064311151525E-6</v>
      </c>
      <c r="AA60" s="49">
        <f t="shared" ca="1" si="7"/>
        <v>0.39678912109508568</v>
      </c>
      <c r="AB60" s="49">
        <f t="shared" ca="1" si="7"/>
        <v>2.9323082965395046E-5</v>
      </c>
      <c r="AC60" s="49">
        <f t="shared" ref="Z60:AC71" ca="1" si="13">NORMDIST($W60,AC$9,SQRT(AC$10),0)</f>
        <v>1.7561716484257063E-2</v>
      </c>
      <c r="AD60" s="39"/>
      <c r="AE60" s="39"/>
    </row>
    <row r="61" spans="1:31" x14ac:dyDescent="0.25">
      <c r="S61" s="39"/>
      <c r="T61" s="39"/>
      <c r="U61" s="39"/>
      <c r="V61" s="68">
        <v>2</v>
      </c>
      <c r="W61" s="48">
        <f t="shared" ca="1" si="11"/>
        <v>21.827025925239528</v>
      </c>
      <c r="X61" s="49">
        <f t="shared" ca="1" si="12"/>
        <v>0.11326038999690785</v>
      </c>
      <c r="Y61" s="49">
        <f t="shared" ca="1" si="7"/>
        <v>0.23623095618832793</v>
      </c>
      <c r="Z61" s="49">
        <f t="shared" ca="1" si="13"/>
        <v>7.4941938839236175E-7</v>
      </c>
      <c r="AA61" s="49">
        <f t="shared" ca="1" si="13"/>
        <v>0.36949966364424136</v>
      </c>
      <c r="AB61" s="49">
        <f t="shared" ca="1" si="13"/>
        <v>1.3377322123180966E-5</v>
      </c>
      <c r="AC61" s="49">
        <f t="shared" ca="1" si="13"/>
        <v>1.0150716273968191E-2</v>
      </c>
      <c r="AD61" s="39"/>
      <c r="AE61" s="39"/>
    </row>
    <row r="62" spans="1:31" x14ac:dyDescent="0.25">
      <c r="S62" s="39"/>
      <c r="T62" s="39"/>
      <c r="U62" s="39"/>
      <c r="V62" s="68">
        <v>2.1</v>
      </c>
      <c r="W62" s="48">
        <f t="shared" ca="1" si="11"/>
        <v>21.874695694445393</v>
      </c>
      <c r="X62" s="49">
        <f t="shared" ca="1" si="12"/>
        <v>9.2267272766691263E-2</v>
      </c>
      <c r="Y62" s="49">
        <f t="shared" ca="1" si="7"/>
        <v>0.19971871075581452</v>
      </c>
      <c r="Z62" s="49">
        <f t="shared" ca="1" si="13"/>
        <v>2.1247752072646391E-7</v>
      </c>
      <c r="AA62" s="49">
        <f t="shared" ca="1" si="13"/>
        <v>0.34223974788111527</v>
      </c>
      <c r="AB62" s="49">
        <f t="shared" ca="1" si="13"/>
        <v>5.9366243777583891E-6</v>
      </c>
      <c r="AC62" s="49">
        <f t="shared" ca="1" si="13"/>
        <v>5.6830734203620857E-3</v>
      </c>
      <c r="AD62" s="39"/>
      <c r="AE62" s="39"/>
    </row>
    <row r="63" spans="1:31" x14ac:dyDescent="0.25">
      <c r="S63" s="39"/>
      <c r="T63" s="39"/>
      <c r="U63" s="39"/>
      <c r="V63" s="68">
        <v>2.2000000000000002</v>
      </c>
      <c r="W63" s="48">
        <f t="shared" ca="1" si="11"/>
        <v>21.922365463651257</v>
      </c>
      <c r="X63" s="49">
        <f t="shared" ca="1" si="12"/>
        <v>7.4417379058481475E-2</v>
      </c>
      <c r="Y63" s="49">
        <f t="shared" ca="1" si="7"/>
        <v>0.16711394899192486</v>
      </c>
      <c r="Z63" s="49">
        <f t="shared" ca="1" si="13"/>
        <v>5.7207943102978199E-8</v>
      </c>
      <c r="AA63" s="49">
        <f t="shared" ca="1" si="13"/>
        <v>0.31528909951315109</v>
      </c>
      <c r="AB63" s="49">
        <f t="shared" ca="1" si="13"/>
        <v>2.5628358338249035E-6</v>
      </c>
      <c r="AC63" s="49">
        <f t="shared" ca="1" si="13"/>
        <v>3.0819578545655726E-3</v>
      </c>
      <c r="AD63" s="39"/>
      <c r="AE63" s="39"/>
    </row>
    <row r="64" spans="1:31" x14ac:dyDescent="0.25">
      <c r="S64" s="39"/>
      <c r="T64" s="39"/>
      <c r="U64" s="39"/>
      <c r="V64" s="68">
        <v>2.2999999999999998</v>
      </c>
      <c r="W64" s="48">
        <f t="shared" ca="1" si="11"/>
        <v>21.970035232857121</v>
      </c>
      <c r="X64" s="49">
        <f t="shared" ca="1" si="12"/>
        <v>5.9423484135761921E-2</v>
      </c>
      <c r="Y64" s="49">
        <f t="shared" ca="1" si="7"/>
        <v>0.13839444296978809</v>
      </c>
      <c r="Z64" s="49">
        <f t="shared" ca="1" si="13"/>
        <v>1.4626989625002129E-8</v>
      </c>
      <c r="AA64" s="49">
        <f t="shared" ca="1" si="13"/>
        <v>0.28890135179774767</v>
      </c>
      <c r="AB64" s="49">
        <f t="shared" ca="1" si="13"/>
        <v>1.076249182890349E-6</v>
      </c>
      <c r="AC64" s="49">
        <f t="shared" ca="1" si="13"/>
        <v>1.6189259144526135E-3</v>
      </c>
      <c r="AD64" s="39"/>
      <c r="AE64" s="39"/>
    </row>
    <row r="65" spans="19:31" x14ac:dyDescent="0.25">
      <c r="S65" s="39"/>
      <c r="T65" s="39"/>
      <c r="U65" s="39"/>
      <c r="V65" s="68">
        <v>2.4</v>
      </c>
      <c r="W65" s="48">
        <f t="shared" ca="1" si="11"/>
        <v>22.017705002062986</v>
      </c>
      <c r="X65" s="49">
        <f t="shared" ca="1" si="12"/>
        <v>4.6978474341109036E-2</v>
      </c>
      <c r="Y65" s="49">
        <f t="shared" ca="1" si="7"/>
        <v>0.11343226498953464</v>
      </c>
      <c r="Z65" s="49">
        <f t="shared" ca="1" si="13"/>
        <v>3.5514757282523667E-9</v>
      </c>
      <c r="AA65" s="49">
        <f t="shared" ca="1" si="13"/>
        <v>0.26330087400632629</v>
      </c>
      <c r="AB65" s="49">
        <f t="shared" ca="1" si="13"/>
        <v>4.3965874125431158E-7</v>
      </c>
      <c r="AC65" s="49">
        <f t="shared" ca="1" si="13"/>
        <v>8.2372852440524039E-4</v>
      </c>
      <c r="AD65" s="39"/>
      <c r="AE65" s="39"/>
    </row>
    <row r="66" spans="19:31" x14ac:dyDescent="0.25">
      <c r="S66" s="39"/>
      <c r="T66" s="39"/>
      <c r="U66" s="39"/>
      <c r="V66" s="68">
        <v>2.5000000000000102</v>
      </c>
      <c r="W66" s="48">
        <f t="shared" ca="1" si="11"/>
        <v>22.065374771268853</v>
      </c>
      <c r="X66" s="49">
        <f t="shared" ca="1" si="12"/>
        <v>3.6770265066464532E-2</v>
      </c>
      <c r="Y66" s="49">
        <f t="shared" ca="1" si="7"/>
        <v>9.2016679670173906E-2</v>
      </c>
      <c r="Z66" s="49">
        <f t="shared" ca="1" si="13"/>
        <v>8.1887577951638646E-10</v>
      </c>
      <c r="AA66" s="49">
        <f t="shared" ca="1" si="13"/>
        <v>0.23868060852647685</v>
      </c>
      <c r="AB66" s="49">
        <f t="shared" ca="1" si="13"/>
        <v>1.7471468922651818E-7</v>
      </c>
      <c r="AC66" s="49">
        <f t="shared" ca="1" si="13"/>
        <v>4.0597387419065212E-4</v>
      </c>
      <c r="AD66" s="39"/>
      <c r="AE66" s="39"/>
    </row>
    <row r="67" spans="19:31" x14ac:dyDescent="0.25">
      <c r="S67" s="39"/>
      <c r="T67" s="39"/>
      <c r="U67" s="39"/>
      <c r="V67" s="68">
        <v>2.6</v>
      </c>
      <c r="W67" s="48">
        <f t="shared" ca="1" si="11"/>
        <v>22.113044540474714</v>
      </c>
      <c r="X67" s="49">
        <f t="shared" ca="1" si="12"/>
        <v>2.8493885034405933E-2</v>
      </c>
      <c r="Y67" s="49">
        <f t="shared" ca="1" si="7"/>
        <v>7.3876874617436403E-2</v>
      </c>
      <c r="Z67" s="49">
        <f t="shared" ca="1" si="13"/>
        <v>1.793009035600484E-10</v>
      </c>
      <c r="AA67" s="49">
        <f t="shared" ca="1" si="13"/>
        <v>0.21520089891575192</v>
      </c>
      <c r="AB67" s="49">
        <f t="shared" ca="1" si="13"/>
        <v>6.75388961573986E-8</v>
      </c>
      <c r="AC67" s="49">
        <f t="shared" ca="1" si="13"/>
        <v>1.9380675850383934E-4</v>
      </c>
      <c r="AD67" s="39"/>
      <c r="AE67" s="39"/>
    </row>
    <row r="68" spans="19:31" x14ac:dyDescent="0.25">
      <c r="S68" s="39"/>
      <c r="T68" s="39"/>
      <c r="U68" s="39"/>
      <c r="V68" s="68">
        <v>2.7</v>
      </c>
      <c r="W68" s="48">
        <f t="shared" ca="1" si="11"/>
        <v>22.160714309680579</v>
      </c>
      <c r="X68" s="49">
        <f t="shared" ca="1" si="12"/>
        <v>2.1860678136324224E-2</v>
      </c>
      <c r="Y68" s="49">
        <f t="shared" ca="1" si="7"/>
        <v>5.8703294123962364E-2</v>
      </c>
      <c r="Z68" s="49">
        <f t="shared" ca="1" si="13"/>
        <v>3.7282258018536004E-11</v>
      </c>
      <c r="AA68" s="49">
        <f t="shared" ca="1" si="13"/>
        <v>0.19298925726532104</v>
      </c>
      <c r="AB68" s="49">
        <f t="shared" ca="1" si="13"/>
        <v>2.5397403978570618E-8</v>
      </c>
      <c r="AC68" s="49">
        <f t="shared" ca="1" si="13"/>
        <v>8.9618279151283288E-5</v>
      </c>
      <c r="AD68" s="39"/>
      <c r="AE68" s="39"/>
    </row>
    <row r="69" spans="19:31" x14ac:dyDescent="0.25">
      <c r="S69" s="39"/>
      <c r="T69" s="39"/>
      <c r="U69" s="39"/>
      <c r="V69" s="68">
        <v>2.80000000000001</v>
      </c>
      <c r="W69" s="48">
        <f t="shared" ca="1" si="11"/>
        <v>22.20838407888645</v>
      </c>
      <c r="X69" s="49">
        <f t="shared" ca="1" si="12"/>
        <v>1.6604761707144772E-2</v>
      </c>
      <c r="Y69" s="49">
        <f t="shared" ca="1" si="7"/>
        <v>4.6166657491220744E-2</v>
      </c>
      <c r="Z69" s="49">
        <f t="shared" ca="1" si="13"/>
        <v>7.3616847332086998E-12</v>
      </c>
      <c r="AA69" s="49">
        <f t="shared" ca="1" si="13"/>
        <v>0.17214099038325212</v>
      </c>
      <c r="AB69" s="49">
        <f t="shared" ca="1" si="13"/>
        <v>9.2904238120519308E-9</v>
      </c>
      <c r="AC69" s="49">
        <f t="shared" ca="1" si="13"/>
        <v>4.0140348023625284E-5</v>
      </c>
      <c r="AD69" s="39"/>
      <c r="AE69" s="39"/>
    </row>
    <row r="70" spans="19:31" x14ac:dyDescent="0.25">
      <c r="S70" s="39"/>
      <c r="T70" s="39"/>
      <c r="U70" s="39"/>
      <c r="V70" s="68">
        <v>2.9000000000000101</v>
      </c>
      <c r="W70" s="48">
        <f t="shared" ca="1" si="11"/>
        <v>22.256053848092314</v>
      </c>
      <c r="X70" s="49">
        <f t="shared" ca="1" si="12"/>
        <v>1.248701749334951E-2</v>
      </c>
      <c r="Y70" s="49">
        <f t="shared" ca="1" si="7"/>
        <v>3.5934068756967322E-2</v>
      </c>
      <c r="Z70" s="49">
        <f t="shared" ca="1" si="13"/>
        <v>1.3804080999730353E-12</v>
      </c>
      <c r="AA70" s="49">
        <f t="shared" ca="1" si="13"/>
        <v>0.15272058142404518</v>
      </c>
      <c r="AB70" s="49">
        <f t="shared" ca="1" si="13"/>
        <v>3.3059216430099506E-9</v>
      </c>
      <c r="AC70" s="49">
        <f t="shared" ca="1" si="13"/>
        <v>1.7414961455096574E-5</v>
      </c>
      <c r="AD70" s="39"/>
      <c r="AE70" s="39"/>
    </row>
    <row r="71" spans="19:31" x14ac:dyDescent="0.25">
      <c r="S71" s="39"/>
      <c r="T71" s="39"/>
      <c r="U71" s="39"/>
      <c r="V71" s="68">
        <v>3.0000000000000102</v>
      </c>
      <c r="W71" s="48">
        <f t="shared" ca="1" si="11"/>
        <v>22.303723617298179</v>
      </c>
      <c r="X71" s="49">
        <f t="shared" ca="1" si="12"/>
        <v>9.2969789570380903E-3</v>
      </c>
      <c r="Y71" s="49">
        <f t="shared" ca="1" si="7"/>
        <v>2.7681929518876124E-2</v>
      </c>
      <c r="Z71" s="49">
        <f t="shared" ca="1" si="13"/>
        <v>2.4580632885713228E-13</v>
      </c>
      <c r="AA71" s="49">
        <f t="shared" ca="1" si="13"/>
        <v>0.13476370714924452</v>
      </c>
      <c r="AB71" s="49">
        <f t="shared" ca="1" si="13"/>
        <v>1.1443540623754654E-9</v>
      </c>
      <c r="AC71" s="49">
        <f t="shared" ca="1" si="13"/>
        <v>7.3184776741329168E-6</v>
      </c>
      <c r="AD71" s="39"/>
      <c r="AE71" s="39"/>
    </row>
    <row r="72" spans="19:31" x14ac:dyDescent="0.25">
      <c r="S72" s="39"/>
      <c r="T72" s="39"/>
      <c r="U72" s="39"/>
      <c r="V72" s="47"/>
      <c r="W72" s="47"/>
      <c r="X72" s="47"/>
      <c r="Y72" s="39"/>
      <c r="Z72" s="39"/>
      <c r="AA72" s="39"/>
      <c r="AB72" s="39"/>
      <c r="AC72" s="39"/>
      <c r="AD72" s="39"/>
      <c r="AE72" s="39"/>
    </row>
    <row r="73" spans="19:31" x14ac:dyDescent="0.25">
      <c r="S73" s="39"/>
      <c r="T73" s="39"/>
      <c r="U73" s="39"/>
      <c r="V73" s="47"/>
      <c r="W73" s="47"/>
      <c r="X73" s="47"/>
      <c r="Y73" s="39"/>
      <c r="Z73" s="39"/>
      <c r="AA73" s="39"/>
      <c r="AB73" s="39"/>
      <c r="AC73" s="39"/>
      <c r="AD73" s="39"/>
      <c r="AE73" s="39"/>
    </row>
    <row r="74" spans="19:31" x14ac:dyDescent="0.25">
      <c r="V74" s="43"/>
      <c r="W74" s="43"/>
      <c r="X74" s="43"/>
    </row>
    <row r="75" spans="19:31" x14ac:dyDescent="0.25">
      <c r="V75" s="43"/>
      <c r="W75" s="43"/>
      <c r="X75" s="43"/>
    </row>
    <row r="76" spans="19:31" x14ac:dyDescent="0.25">
      <c r="V76" s="43"/>
      <c r="W76" s="43"/>
      <c r="X76" s="43"/>
    </row>
    <row r="77" spans="19:31" x14ac:dyDescent="0.25">
      <c r="V77" s="43"/>
      <c r="W77" s="43"/>
      <c r="X77" s="43"/>
    </row>
    <row r="78" spans="19:31" x14ac:dyDescent="0.25">
      <c r="V78" s="43"/>
      <c r="W78" s="43"/>
      <c r="X78" s="43"/>
    </row>
    <row r="79" spans="19:31" x14ac:dyDescent="0.25">
      <c r="V79" s="43"/>
      <c r="W79" s="43"/>
      <c r="X79" s="43"/>
    </row>
    <row r="80" spans="19:31" x14ac:dyDescent="0.25">
      <c r="V80" s="43"/>
      <c r="W80" s="43"/>
      <c r="X80" s="43"/>
    </row>
    <row r="81" spans="22:24" x14ac:dyDescent="0.25">
      <c r="V81" s="43"/>
      <c r="W81" s="43"/>
      <c r="X81" s="43"/>
    </row>
    <row r="82" spans="22:24" x14ac:dyDescent="0.25">
      <c r="V82" s="43"/>
      <c r="W82" s="43"/>
      <c r="X82" s="43"/>
    </row>
    <row r="83" spans="22:24" x14ac:dyDescent="0.25">
      <c r="V83" s="43"/>
      <c r="W83" s="43"/>
      <c r="X83" s="43"/>
    </row>
    <row r="84" spans="22:24" x14ac:dyDescent="0.25">
      <c r="V84" s="43"/>
      <c r="W84" s="43"/>
      <c r="X84" s="43"/>
    </row>
    <row r="85" spans="22:24" x14ac:dyDescent="0.25">
      <c r="V85" s="43"/>
      <c r="W85" s="43"/>
      <c r="X85" s="43"/>
    </row>
    <row r="86" spans="22:24" x14ac:dyDescent="0.25">
      <c r="V86" s="43"/>
      <c r="W86" s="43"/>
      <c r="X86" s="43"/>
    </row>
    <row r="87" spans="22:24" x14ac:dyDescent="0.25">
      <c r="V87" s="43"/>
      <c r="W87" s="43"/>
      <c r="X87" s="43"/>
    </row>
    <row r="88" spans="22:24" x14ac:dyDescent="0.25">
      <c r="V88" s="43"/>
      <c r="W88" s="43"/>
      <c r="X88" s="43"/>
    </row>
    <row r="89" spans="22:24" x14ac:dyDescent="0.25">
      <c r="V89" s="43"/>
      <c r="W89" s="43"/>
      <c r="X89" s="43"/>
    </row>
    <row r="90" spans="22:24" x14ac:dyDescent="0.25">
      <c r="V90" s="43"/>
      <c r="W90" s="43"/>
      <c r="X90" s="43"/>
    </row>
    <row r="91" spans="22:24" x14ac:dyDescent="0.25">
      <c r="V91" s="43"/>
      <c r="W91" s="43"/>
      <c r="X91" s="43"/>
    </row>
    <row r="92" spans="22:24" x14ac:dyDescent="0.25">
      <c r="V92" s="43"/>
      <c r="W92" s="43"/>
      <c r="X92" s="43"/>
    </row>
    <row r="93" spans="22:24" x14ac:dyDescent="0.25">
      <c r="V93" s="43"/>
      <c r="W93" s="43"/>
      <c r="X93" s="43"/>
    </row>
    <row r="94" spans="22:24" x14ac:dyDescent="0.25">
      <c r="V94" s="43"/>
      <c r="W94" s="43"/>
      <c r="X94" s="43"/>
    </row>
    <row r="95" spans="22:24" x14ac:dyDescent="0.25">
      <c r="V95" s="43"/>
      <c r="W95" s="43"/>
      <c r="X95" s="43"/>
    </row>
    <row r="96" spans="22:24" x14ac:dyDescent="0.25">
      <c r="V96" s="43"/>
      <c r="W96" s="43"/>
      <c r="X96" s="43"/>
    </row>
    <row r="97" spans="22:24" x14ac:dyDescent="0.25">
      <c r="V97" s="43"/>
      <c r="W97" s="43"/>
      <c r="X97" s="43"/>
    </row>
    <row r="98" spans="22:24" x14ac:dyDescent="0.25">
      <c r="V98" s="43"/>
      <c r="W98" s="43"/>
      <c r="X98" s="43"/>
    </row>
    <row r="99" spans="22:24" x14ac:dyDescent="0.25">
      <c r="V99" s="43"/>
      <c r="W99" s="43"/>
      <c r="X99" s="43"/>
    </row>
    <row r="100" spans="22:24" x14ac:dyDescent="0.25">
      <c r="V100" s="43"/>
      <c r="W100" s="43"/>
      <c r="X100" s="43"/>
    </row>
    <row r="101" spans="22:24" x14ac:dyDescent="0.25">
      <c r="V101" s="43"/>
      <c r="W101" s="43"/>
      <c r="X101" s="43"/>
    </row>
    <row r="102" spans="22:24" x14ac:dyDescent="0.25">
      <c r="V102" s="43"/>
      <c r="W102" s="43"/>
      <c r="X102" s="43"/>
    </row>
    <row r="103" spans="22:24" x14ac:dyDescent="0.25">
      <c r="V103" s="43"/>
      <c r="W103" s="43"/>
      <c r="X103" s="43"/>
    </row>
    <row r="104" spans="22:24" x14ac:dyDescent="0.25">
      <c r="V104" s="43"/>
      <c r="W104" s="43"/>
      <c r="X104" s="43"/>
    </row>
    <row r="105" spans="22:24" x14ac:dyDescent="0.25">
      <c r="V105" s="43"/>
      <c r="W105" s="43"/>
      <c r="X105" s="43"/>
    </row>
    <row r="106" spans="22:24" x14ac:dyDescent="0.25">
      <c r="V106" s="43"/>
      <c r="W106" s="43"/>
      <c r="X106" s="43"/>
    </row>
    <row r="107" spans="22:24" x14ac:dyDescent="0.25">
      <c r="V107" s="43"/>
      <c r="W107" s="43"/>
      <c r="X107" s="43"/>
    </row>
    <row r="108" spans="22:24" x14ac:dyDescent="0.25">
      <c r="V108" s="43"/>
      <c r="W108" s="43"/>
      <c r="X108" s="43"/>
    </row>
    <row r="109" spans="22:24" x14ac:dyDescent="0.25">
      <c r="V109" s="43"/>
      <c r="W109" s="43"/>
      <c r="X109" s="43"/>
    </row>
    <row r="110" spans="22:24" x14ac:dyDescent="0.25">
      <c r="V110" s="43"/>
      <c r="W110" s="43"/>
      <c r="X110" s="43"/>
    </row>
    <row r="111" spans="22:24" x14ac:dyDescent="0.25">
      <c r="V111" s="43"/>
      <c r="W111" s="43"/>
      <c r="X111" s="43"/>
    </row>
    <row r="112" spans="22:24" x14ac:dyDescent="0.25">
      <c r="V112" s="43"/>
      <c r="W112" s="43"/>
      <c r="X112" s="43"/>
    </row>
    <row r="113" spans="22:24" x14ac:dyDescent="0.25">
      <c r="V113" s="43"/>
      <c r="W113" s="43"/>
      <c r="X113" s="43"/>
    </row>
    <row r="114" spans="22:24" x14ac:dyDescent="0.25">
      <c r="V114" s="43"/>
      <c r="W114" s="43"/>
      <c r="X114" s="43"/>
    </row>
    <row r="115" spans="22:24" x14ac:dyDescent="0.25">
      <c r="V115" s="43"/>
      <c r="W115" s="43"/>
      <c r="X115" s="43"/>
    </row>
    <row r="116" spans="22:24" x14ac:dyDescent="0.25">
      <c r="V116" s="43"/>
      <c r="W116" s="43"/>
      <c r="X116" s="43"/>
    </row>
    <row r="117" spans="22:24" x14ac:dyDescent="0.25">
      <c r="V117" s="43"/>
      <c r="W117" s="43"/>
      <c r="X117" s="43"/>
    </row>
    <row r="118" spans="22:24" x14ac:dyDescent="0.25">
      <c r="V118" s="43"/>
      <c r="W118" s="43"/>
      <c r="X118" s="43"/>
    </row>
    <row r="119" spans="22:24" x14ac:dyDescent="0.25">
      <c r="V119" s="43"/>
      <c r="W119" s="43"/>
      <c r="X119" s="43"/>
    </row>
    <row r="120" spans="22:24" x14ac:dyDescent="0.25">
      <c r="V120" s="43"/>
      <c r="W120" s="43"/>
      <c r="X120" s="43"/>
    </row>
    <row r="121" spans="22:24" x14ac:dyDescent="0.25">
      <c r="V121" s="43"/>
      <c r="W121" s="43"/>
      <c r="X121" s="43"/>
    </row>
    <row r="122" spans="22:24" x14ac:dyDescent="0.25">
      <c r="V122" s="43"/>
      <c r="W122" s="43"/>
      <c r="X122" s="43"/>
    </row>
    <row r="123" spans="22:24" x14ac:dyDescent="0.25">
      <c r="V123" s="43"/>
      <c r="W123" s="43"/>
      <c r="X123" s="43"/>
    </row>
    <row r="124" spans="22:24" x14ac:dyDescent="0.25">
      <c r="V124" s="43"/>
      <c r="W124" s="43"/>
      <c r="X124" s="43"/>
    </row>
    <row r="125" spans="22:24" x14ac:dyDescent="0.25">
      <c r="V125" s="43"/>
      <c r="W125" s="43"/>
      <c r="X125" s="43"/>
    </row>
    <row r="126" spans="22:24" x14ac:dyDescent="0.25">
      <c r="V126" s="43"/>
      <c r="W126" s="43"/>
      <c r="X126" s="43"/>
    </row>
    <row r="127" spans="22:24" x14ac:dyDescent="0.25">
      <c r="V127" s="43"/>
      <c r="W127" s="43"/>
      <c r="X127" s="43"/>
    </row>
    <row r="128" spans="22:24" x14ac:dyDescent="0.25">
      <c r="V128" s="43"/>
      <c r="W128" s="43"/>
      <c r="X128" s="43"/>
    </row>
    <row r="129" spans="22:24" x14ac:dyDescent="0.25">
      <c r="V129" s="43"/>
      <c r="W129" s="43"/>
      <c r="X129" s="43"/>
    </row>
    <row r="130" spans="22:24" x14ac:dyDescent="0.25">
      <c r="V130" s="43"/>
      <c r="W130" s="43"/>
      <c r="X130" s="43"/>
    </row>
    <row r="131" spans="22:24" x14ac:dyDescent="0.25">
      <c r="V131" s="43"/>
      <c r="W131" s="43"/>
      <c r="X131" s="43"/>
    </row>
    <row r="132" spans="22:24" x14ac:dyDescent="0.25">
      <c r="V132" s="43"/>
      <c r="W132" s="43"/>
      <c r="X132" s="43"/>
    </row>
    <row r="133" spans="22:24" x14ac:dyDescent="0.25">
      <c r="V133" s="43"/>
      <c r="W133" s="43"/>
      <c r="X133" s="43"/>
    </row>
    <row r="134" spans="22:24" x14ac:dyDescent="0.25">
      <c r="V134" s="43"/>
      <c r="W134" s="43"/>
      <c r="X134" s="43"/>
    </row>
    <row r="135" spans="22:24" x14ac:dyDescent="0.25">
      <c r="V135" s="43"/>
      <c r="W135" s="43"/>
      <c r="X135" s="43"/>
    </row>
    <row r="136" spans="22:24" x14ac:dyDescent="0.25">
      <c r="V136" s="43"/>
      <c r="W136" s="43"/>
      <c r="X136" s="43"/>
    </row>
    <row r="137" spans="22:24" x14ac:dyDescent="0.25">
      <c r="V137" s="43"/>
      <c r="W137" s="43"/>
      <c r="X137" s="43"/>
    </row>
    <row r="138" spans="22:24" x14ac:dyDescent="0.25">
      <c r="V138" s="43"/>
      <c r="W138" s="43"/>
      <c r="X138" s="43"/>
    </row>
    <row r="139" spans="22:24" x14ac:dyDescent="0.25">
      <c r="V139" s="43"/>
      <c r="W139" s="43"/>
      <c r="X139" s="43"/>
    </row>
    <row r="140" spans="22:24" x14ac:dyDescent="0.25">
      <c r="V140" s="43"/>
      <c r="W140" s="43"/>
      <c r="X140" s="43"/>
    </row>
    <row r="141" spans="22:24" x14ac:dyDescent="0.25">
      <c r="V141" s="43"/>
      <c r="W141" s="43"/>
      <c r="X141" s="43"/>
    </row>
    <row r="142" spans="22:24" x14ac:dyDescent="0.25">
      <c r="V142" s="43"/>
      <c r="W142" s="43"/>
      <c r="X142" s="43"/>
    </row>
    <row r="143" spans="22:24" x14ac:dyDescent="0.25">
      <c r="V143" s="43"/>
      <c r="W143" s="43"/>
      <c r="X143" s="43"/>
    </row>
    <row r="144" spans="22:24" x14ac:dyDescent="0.25">
      <c r="V144" s="43"/>
      <c r="W144" s="43"/>
      <c r="X144" s="43"/>
    </row>
    <row r="145" spans="22:24" x14ac:dyDescent="0.25">
      <c r="V145" s="43"/>
      <c r="W145" s="43"/>
      <c r="X145" s="43"/>
    </row>
    <row r="146" spans="22:24" x14ac:dyDescent="0.25">
      <c r="V146" s="43"/>
      <c r="W146" s="43"/>
      <c r="X146" s="43"/>
    </row>
    <row r="147" spans="22:24" x14ac:dyDescent="0.25">
      <c r="V147" s="43"/>
      <c r="W147" s="43"/>
      <c r="X147" s="43"/>
    </row>
    <row r="148" spans="22:24" x14ac:dyDescent="0.25">
      <c r="V148" s="43"/>
      <c r="W148" s="43"/>
      <c r="X148" s="43"/>
    </row>
    <row r="149" spans="22:24" x14ac:dyDescent="0.25">
      <c r="V149" s="43"/>
      <c r="W149" s="43"/>
      <c r="X149" s="43"/>
    </row>
    <row r="150" spans="22:24" x14ac:dyDescent="0.25">
      <c r="V150" s="43"/>
      <c r="W150" s="43"/>
      <c r="X150" s="43"/>
    </row>
    <row r="151" spans="22:24" x14ac:dyDescent="0.25">
      <c r="V151" s="43"/>
      <c r="W151" s="43"/>
      <c r="X151" s="43"/>
    </row>
    <row r="152" spans="22:24" x14ac:dyDescent="0.25">
      <c r="V152" s="43"/>
      <c r="W152" s="43"/>
      <c r="X152" s="43"/>
    </row>
    <row r="153" spans="22:24" x14ac:dyDescent="0.25">
      <c r="V153" s="43"/>
      <c r="W153" s="43"/>
      <c r="X153" s="43"/>
    </row>
    <row r="154" spans="22:24" x14ac:dyDescent="0.25">
      <c r="V154" s="43"/>
      <c r="W154" s="43"/>
      <c r="X154" s="43"/>
    </row>
    <row r="155" spans="22:24" x14ac:dyDescent="0.25">
      <c r="V155" s="43"/>
      <c r="W155" s="43"/>
      <c r="X155" s="43"/>
    </row>
    <row r="156" spans="22:24" x14ac:dyDescent="0.25">
      <c r="V156" s="43"/>
      <c r="W156" s="43"/>
      <c r="X156" s="43"/>
    </row>
    <row r="157" spans="22:24" x14ac:dyDescent="0.25">
      <c r="V157" s="43"/>
      <c r="W157" s="43"/>
      <c r="X157" s="43"/>
    </row>
    <row r="158" spans="22:24" x14ac:dyDescent="0.25">
      <c r="V158" s="43"/>
      <c r="W158" s="43"/>
      <c r="X158" s="43"/>
    </row>
    <row r="159" spans="22:24" x14ac:dyDescent="0.25">
      <c r="V159" s="43"/>
      <c r="W159" s="43"/>
      <c r="X159" s="43"/>
    </row>
    <row r="160" spans="22:24" x14ac:dyDescent="0.25">
      <c r="V160" s="43"/>
      <c r="W160" s="43"/>
      <c r="X160" s="43"/>
    </row>
    <row r="161" spans="22:24" x14ac:dyDescent="0.25">
      <c r="V161" s="43"/>
      <c r="W161" s="43"/>
      <c r="X161" s="43"/>
    </row>
    <row r="162" spans="22:24" x14ac:dyDescent="0.25">
      <c r="V162" s="43"/>
      <c r="W162" s="43"/>
      <c r="X162" s="43"/>
    </row>
    <row r="163" spans="22:24" x14ac:dyDescent="0.25">
      <c r="V163" s="43"/>
      <c r="W163" s="43"/>
      <c r="X163" s="43"/>
    </row>
  </sheetData>
  <sheetProtection algorithmName="SHA-512" hashValue="MuCZnLyWziQ8FjstPxNJqg8P+nEGMwBkLnHE3LcpEBB+vBIjwCrIV0f/D0YN9vTVjktZcXGuzcKnuEe3esbiSQ==" saltValue="voUD1YOPTafwFrrThYr3SA==" spinCount="100000" sheet="1" objects="1" scenarios="1"/>
  <protectedRanges>
    <protectedRange sqref="D5:E5 Q5:Q6 H4:L14" name="Plage1"/>
  </protectedRanges>
  <mergeCells count="9">
    <mergeCell ref="W7:X7"/>
    <mergeCell ref="H3:L3"/>
    <mergeCell ref="K42:L42"/>
    <mergeCell ref="P35:Q35"/>
    <mergeCell ref="P43:Q43"/>
    <mergeCell ref="O42:Q42"/>
    <mergeCell ref="C4:E4"/>
    <mergeCell ref="C34:F34"/>
    <mergeCell ref="G34:N34"/>
  </mergeCells>
  <hyperlinks>
    <hyperlink ref="B48" r:id="rId1" xr:uid="{00000000-0004-0000-0000-000000000000}"/>
  </hyperlinks>
  <pageMargins left="0.7" right="0.7" top="0.75" bottom="0.75" header="0.3" footer="0.3"/>
  <ignoredErrors>
    <ignoredError sqref="J5:J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K36"/>
  <sheetViews>
    <sheetView workbookViewId="0">
      <selection activeCell="C4" sqref="C4"/>
    </sheetView>
  </sheetViews>
  <sheetFormatPr baseColWidth="10" defaultColWidth="10.42578125" defaultRowHeight="12" x14ac:dyDescent="0.2"/>
  <cols>
    <col min="1" max="1" width="7.42578125" style="14" customWidth="1"/>
    <col min="2" max="2" width="24.42578125" style="14" customWidth="1"/>
    <col min="3" max="7" width="12.7109375" style="14" bestFit="1" customWidth="1"/>
    <col min="8" max="16384" width="10.42578125" style="14"/>
  </cols>
  <sheetData>
    <row r="1" spans="1:11" s="13" customFormat="1" ht="13.5" thickBot="1" x14ac:dyDescent="0.25">
      <c r="B1" s="3" t="s">
        <v>31</v>
      </c>
    </row>
    <row r="2" spans="1:11" ht="12.75" thickBot="1" x14ac:dyDescent="0.25">
      <c r="B2" s="14" t="s">
        <v>32</v>
      </c>
      <c r="C2" s="15" t="e">
        <f>#REF!</f>
        <v>#REF!</v>
      </c>
      <c r="E2" s="14">
        <v>20</v>
      </c>
      <c r="F2" s="14">
        <v>100</v>
      </c>
    </row>
    <row r="3" spans="1:11" ht="15.75" thickBot="1" x14ac:dyDescent="0.3">
      <c r="B3" s="14" t="s">
        <v>33</v>
      </c>
      <c r="C3" s="16" t="e">
        <f>#REF!</f>
        <v>#REF!</v>
      </c>
      <c r="E3" s="14">
        <v>0.01</v>
      </c>
      <c r="F3" s="14">
        <f>E3*F2/E2</f>
        <v>0.05</v>
      </c>
    </row>
    <row r="5" spans="1:11" x14ac:dyDescent="0.2">
      <c r="B5" s="17" t="s">
        <v>34</v>
      </c>
      <c r="C5" s="17" t="s">
        <v>19</v>
      </c>
      <c r="D5" s="17" t="s">
        <v>27</v>
      </c>
      <c r="E5" s="17" t="s">
        <v>28</v>
      </c>
      <c r="F5" s="17" t="s">
        <v>29</v>
      </c>
      <c r="G5" s="17" t="s">
        <v>30</v>
      </c>
    </row>
    <row r="6" spans="1:11" s="18" customFormat="1" x14ac:dyDescent="0.2">
      <c r="A6" s="18">
        <v>2</v>
      </c>
      <c r="B6" s="32" t="s">
        <v>43</v>
      </c>
      <c r="C6" s="19">
        <f>'80%'!B2</f>
        <v>80</v>
      </c>
      <c r="D6" s="19">
        <f>'90%'!B2</f>
        <v>90</v>
      </c>
      <c r="E6" s="19">
        <f>'100%'!B2</f>
        <v>100</v>
      </c>
      <c r="F6" s="34">
        <f>'110%'!B2</f>
        <v>110</v>
      </c>
      <c r="G6" s="19">
        <f>'120%'!B2</f>
        <v>120</v>
      </c>
    </row>
    <row r="7" spans="1:11" x14ac:dyDescent="0.2">
      <c r="A7" s="14">
        <v>30</v>
      </c>
      <c r="B7" s="33" t="s">
        <v>44</v>
      </c>
      <c r="C7" s="20" t="e">
        <f>'80%'!B22</f>
        <v>#REF!</v>
      </c>
      <c r="D7" s="20" t="e">
        <f>'90%'!B22</f>
        <v>#REF!</v>
      </c>
      <c r="E7" s="20" t="e">
        <f>'100%'!B22</f>
        <v>#REF!</v>
      </c>
      <c r="F7" s="20" t="e">
        <f>'110%'!B22</f>
        <v>#REF!</v>
      </c>
      <c r="G7" s="20" t="e">
        <f>'120%'!B22</f>
        <v>#REF!</v>
      </c>
      <c r="K7" s="21" t="str">
        <f>ADDRESS($A8,2,,,C$5)</f>
        <v>'Niveau A'!$B$31</v>
      </c>
    </row>
    <row r="8" spans="1:11" x14ac:dyDescent="0.2">
      <c r="A8" s="14">
        <v>31</v>
      </c>
      <c r="B8" s="33" t="s">
        <v>45</v>
      </c>
      <c r="C8" s="20" t="e">
        <f>'80%'!B23</f>
        <v>#DIV/0!</v>
      </c>
      <c r="D8" s="20" t="e">
        <f>'90%'!B23</f>
        <v>#DIV/0!</v>
      </c>
      <c r="E8" s="20" t="e">
        <f>'100%'!B23</f>
        <v>#DIV/0!</v>
      </c>
      <c r="F8" s="20" t="e">
        <f>'110%'!B23</f>
        <v>#DIV/0!</v>
      </c>
      <c r="G8" s="20" t="e">
        <f>'120%'!B23</f>
        <v>#DIV/0!</v>
      </c>
    </row>
    <row r="9" spans="1:11" x14ac:dyDescent="0.2">
      <c r="A9" s="14">
        <v>32</v>
      </c>
      <c r="B9" s="33" t="s">
        <v>46</v>
      </c>
      <c r="C9" s="20" t="e">
        <f>'80%'!B24</f>
        <v>#REF!</v>
      </c>
      <c r="D9" s="20" t="e">
        <f>'90%'!B24</f>
        <v>#REF!</v>
      </c>
      <c r="E9" s="20" t="e">
        <f>'100%'!B24</f>
        <v>#REF!</v>
      </c>
      <c r="F9" s="20" t="e">
        <f>'110%'!B24</f>
        <v>#REF!</v>
      </c>
      <c r="G9" s="20" t="e">
        <f>'120%'!B24</f>
        <v>#REF!</v>
      </c>
      <c r="H9" s="2"/>
    </row>
    <row r="10" spans="1:11" x14ac:dyDescent="0.2">
      <c r="A10" s="14">
        <v>33</v>
      </c>
      <c r="B10" s="33" t="s">
        <v>47</v>
      </c>
      <c r="C10" s="20" t="e">
        <f>'80%'!B25</f>
        <v>#DIV/0!</v>
      </c>
      <c r="D10" s="20" t="e">
        <f>'90%'!B25</f>
        <v>#DIV/0!</v>
      </c>
      <c r="E10" s="20" t="e">
        <f>'100%'!B25</f>
        <v>#DIV/0!</v>
      </c>
      <c r="F10" s="20" t="e">
        <f>'110%'!B25</f>
        <v>#DIV/0!</v>
      </c>
      <c r="G10" s="20" t="e">
        <f>'120%'!B25</f>
        <v>#DIV/0!</v>
      </c>
    </row>
    <row r="11" spans="1:11" x14ac:dyDescent="0.2">
      <c r="A11" s="14">
        <v>37</v>
      </c>
      <c r="B11" s="33" t="s">
        <v>48</v>
      </c>
      <c r="C11" s="20" t="e">
        <f>'80%'!B29</f>
        <v>#REF!</v>
      </c>
      <c r="D11" s="20" t="e">
        <f>'90%'!B29</f>
        <v>#REF!</v>
      </c>
      <c r="E11" s="20" t="e">
        <f>'100%'!B29</f>
        <v>#REF!</v>
      </c>
      <c r="F11" s="20" t="e">
        <f>'110%'!B29</f>
        <v>#REF!</v>
      </c>
      <c r="G11" s="20" t="e">
        <f>'120%'!B29</f>
        <v>#REF!</v>
      </c>
    </row>
    <row r="12" spans="1:11" x14ac:dyDescent="0.2">
      <c r="A12" s="14">
        <v>39</v>
      </c>
      <c r="B12" s="33" t="s">
        <v>49</v>
      </c>
      <c r="C12" s="20" t="e">
        <f>'80%'!B31</f>
        <v>#REF!</v>
      </c>
      <c r="D12" s="20" t="e">
        <f>'90%'!B31</f>
        <v>#REF!</v>
      </c>
      <c r="E12" s="20" t="e">
        <f>'100%'!B31</f>
        <v>#REF!</v>
      </c>
      <c r="F12" s="20" t="e">
        <f>'110%'!B31</f>
        <v>#REF!</v>
      </c>
      <c r="G12" s="20" t="e">
        <f>'120%'!B31</f>
        <v>#REF!</v>
      </c>
    </row>
    <row r="13" spans="1:11" x14ac:dyDescent="0.2">
      <c r="A13" s="14">
        <v>40</v>
      </c>
      <c r="B13" s="33" t="s">
        <v>50</v>
      </c>
      <c r="C13" s="20" t="e">
        <f>'80%'!B32</f>
        <v>#REF!</v>
      </c>
      <c r="D13" s="20" t="e">
        <f>'90%'!B32</f>
        <v>#REF!</v>
      </c>
      <c r="E13" s="20" t="e">
        <f>'100%'!B32</f>
        <v>#REF!</v>
      </c>
      <c r="F13" s="20" t="e">
        <f>'110%'!B32</f>
        <v>#REF!</v>
      </c>
      <c r="G13" s="20" t="e">
        <f>'120%'!B32</f>
        <v>#REF!</v>
      </c>
    </row>
    <row r="14" spans="1:11" x14ac:dyDescent="0.2">
      <c r="A14" s="14">
        <v>47</v>
      </c>
      <c r="B14" s="33" t="s">
        <v>51</v>
      </c>
      <c r="C14" s="20" t="e">
        <f>'80%'!B39</f>
        <v>#REF!</v>
      </c>
      <c r="D14" s="20" t="e">
        <f>'90%'!B39</f>
        <v>#REF!</v>
      </c>
      <c r="E14" s="20" t="e">
        <f>'100%'!B39</f>
        <v>#REF!</v>
      </c>
      <c r="F14" s="20" t="e">
        <f>'110%'!B39</f>
        <v>#REF!</v>
      </c>
      <c r="G14" s="20" t="e">
        <f>'120%'!B39</f>
        <v>#REF!</v>
      </c>
    </row>
    <row r="15" spans="1:11" x14ac:dyDescent="0.2">
      <c r="A15" s="14">
        <v>48</v>
      </c>
      <c r="B15" s="33" t="s">
        <v>52</v>
      </c>
      <c r="C15" s="20" t="e">
        <f>'80%'!B40</f>
        <v>#REF!</v>
      </c>
      <c r="D15" s="20" t="e">
        <f>'90%'!B40</f>
        <v>#REF!</v>
      </c>
      <c r="E15" s="20" t="e">
        <f>'100%'!B40</f>
        <v>#REF!</v>
      </c>
      <c r="F15" s="20" t="e">
        <f>'110%'!B40</f>
        <v>#REF!</v>
      </c>
      <c r="G15" s="20" t="e">
        <f>'120%'!B40</f>
        <v>#REF!</v>
      </c>
    </row>
    <row r="16" spans="1:11" x14ac:dyDescent="0.2">
      <c r="A16" s="14">
        <v>35</v>
      </c>
      <c r="B16" s="33" t="s">
        <v>53</v>
      </c>
      <c r="C16" s="22" t="e">
        <f>'80%'!B27</f>
        <v>#REF!</v>
      </c>
      <c r="D16" s="22" t="e">
        <f>'90%'!B27</f>
        <v>#REF!</v>
      </c>
      <c r="E16" s="22" t="e">
        <f>'100%'!B27</f>
        <v>#REF!</v>
      </c>
      <c r="F16" s="22" t="e">
        <f>'110%'!B27</f>
        <v>#REF!</v>
      </c>
      <c r="G16" s="22" t="e">
        <f>'120%'!B27</f>
        <v>#REF!</v>
      </c>
    </row>
    <row r="17" spans="2:7" s="18" customFormat="1" x14ac:dyDescent="0.2">
      <c r="B17" s="19" t="s">
        <v>35</v>
      </c>
      <c r="C17" s="23" t="e">
        <f>C7/C$6</f>
        <v>#REF!</v>
      </c>
      <c r="D17" s="23" t="e">
        <f t="shared" ref="D17:G17" si="0">D7/D$6</f>
        <v>#REF!</v>
      </c>
      <c r="E17" s="23" t="e">
        <f t="shared" si="0"/>
        <v>#REF!</v>
      </c>
      <c r="F17" s="23" t="e">
        <f t="shared" si="0"/>
        <v>#REF!</v>
      </c>
      <c r="G17" s="23" t="e">
        <f t="shared" si="0"/>
        <v>#REF!</v>
      </c>
    </row>
    <row r="18" spans="2:7" s="18" customFormat="1" x14ac:dyDescent="0.2">
      <c r="B18" s="19" t="s">
        <v>36</v>
      </c>
      <c r="C18" s="23" t="e">
        <f>C14/C$6</f>
        <v>#REF!</v>
      </c>
      <c r="D18" s="23" t="e">
        <f>D14/D$6</f>
        <v>#REF!</v>
      </c>
      <c r="E18" s="23" t="e">
        <f t="shared" ref="E18:G19" si="1">E14/E$6</f>
        <v>#REF!</v>
      </c>
      <c r="F18" s="23" t="e">
        <f t="shared" si="1"/>
        <v>#REF!</v>
      </c>
      <c r="G18" s="23" t="e">
        <f t="shared" si="1"/>
        <v>#REF!</v>
      </c>
    </row>
    <row r="19" spans="2:7" s="18" customFormat="1" x14ac:dyDescent="0.2">
      <c r="B19" s="19" t="s">
        <v>37</v>
      </c>
      <c r="C19" s="23" t="e">
        <f>C15/C$6</f>
        <v>#REF!</v>
      </c>
      <c r="D19" s="23" t="e">
        <f>D15/D$6</f>
        <v>#REF!</v>
      </c>
      <c r="E19" s="23" t="e">
        <f t="shared" si="1"/>
        <v>#REF!</v>
      </c>
      <c r="F19" s="23" t="e">
        <f t="shared" si="1"/>
        <v>#REF!</v>
      </c>
      <c r="G19" s="23" t="e">
        <f t="shared" si="1"/>
        <v>#REF!</v>
      </c>
    </row>
    <row r="20" spans="2:7" s="18" customFormat="1" x14ac:dyDescent="0.2">
      <c r="B20" s="19" t="s">
        <v>38</v>
      </c>
      <c r="C20" s="24" t="e">
        <f>1-$C$3</f>
        <v>#REF!</v>
      </c>
      <c r="D20" s="24" t="e">
        <f t="shared" ref="D20:G20" si="2">1-$C$3</f>
        <v>#REF!</v>
      </c>
      <c r="E20" s="24" t="e">
        <f t="shared" si="2"/>
        <v>#REF!</v>
      </c>
      <c r="F20" s="24" t="e">
        <f t="shared" si="2"/>
        <v>#REF!</v>
      </c>
      <c r="G20" s="24" t="e">
        <f t="shared" si="2"/>
        <v>#REF!</v>
      </c>
    </row>
    <row r="21" spans="2:7" s="18" customFormat="1" x14ac:dyDescent="0.2">
      <c r="B21" s="19" t="s">
        <v>39</v>
      </c>
      <c r="C21" s="24" t="e">
        <f t="shared" ref="C21:G21" si="3">1+$C$3</f>
        <v>#REF!</v>
      </c>
      <c r="D21" s="24" t="e">
        <f t="shared" si="3"/>
        <v>#REF!</v>
      </c>
      <c r="E21" s="24" t="e">
        <f t="shared" si="3"/>
        <v>#REF!</v>
      </c>
      <c r="F21" s="24" t="e">
        <f t="shared" si="3"/>
        <v>#REF!</v>
      </c>
      <c r="G21" s="24" t="e">
        <f t="shared" si="3"/>
        <v>#REF!</v>
      </c>
    </row>
    <row r="22" spans="2:7" s="18" customFormat="1" x14ac:dyDescent="0.2">
      <c r="B22" s="25"/>
      <c r="C22" s="26"/>
      <c r="D22" s="26"/>
      <c r="E22" s="26"/>
      <c r="F22" s="26"/>
      <c r="G22" s="26"/>
    </row>
    <row r="23" spans="2:7" s="18" customFormat="1" x14ac:dyDescent="0.2">
      <c r="B23" s="25"/>
      <c r="C23" s="26"/>
      <c r="D23" s="26"/>
      <c r="E23" s="26"/>
      <c r="F23" s="26"/>
      <c r="G23" s="26"/>
    </row>
    <row r="24" spans="2:7" s="18" customFormat="1" x14ac:dyDescent="0.2">
      <c r="B24" s="25"/>
      <c r="C24" s="26"/>
      <c r="D24" s="26"/>
      <c r="E24" s="26"/>
      <c r="F24" s="26"/>
      <c r="G24" s="26"/>
    </row>
    <row r="25" spans="2:7" s="18" customFormat="1" x14ac:dyDescent="0.2">
      <c r="B25" s="25"/>
      <c r="C25" s="26"/>
      <c r="D25" s="26"/>
      <c r="E25" s="26"/>
      <c r="F25" s="26"/>
      <c r="G25" s="26"/>
    </row>
    <row r="26" spans="2:7" s="18" customFormat="1" x14ac:dyDescent="0.2">
      <c r="B26" s="25"/>
      <c r="C26" s="26"/>
      <c r="D26" s="26"/>
      <c r="E26" s="26"/>
      <c r="F26" s="26"/>
      <c r="G26" s="26"/>
    </row>
    <row r="27" spans="2:7" s="13" customFormat="1" x14ac:dyDescent="0.2">
      <c r="B27" s="13" t="s">
        <v>40</v>
      </c>
    </row>
    <row r="28" spans="2:7" x14ac:dyDescent="0.2">
      <c r="B28" s="14" t="s">
        <v>41</v>
      </c>
      <c r="C28" s="27" t="e">
        <f t="shared" ref="C28:G28" si="4">C$12*C$10</f>
        <v>#REF!</v>
      </c>
      <c r="D28" s="27" t="e">
        <f t="shared" si="4"/>
        <v>#REF!</v>
      </c>
      <c r="E28" s="27" t="e">
        <f t="shared" si="4"/>
        <v>#REF!</v>
      </c>
      <c r="F28" s="27" t="e">
        <f t="shared" si="4"/>
        <v>#REF!</v>
      </c>
      <c r="G28" s="27" t="e">
        <f t="shared" si="4"/>
        <v>#REF!</v>
      </c>
    </row>
    <row r="29" spans="2:7" x14ac:dyDescent="0.2">
      <c r="B29" s="14" t="s">
        <v>42</v>
      </c>
      <c r="C29" s="28" t="e">
        <f t="shared" ref="C29:G29" si="5">2*C28/C7</f>
        <v>#REF!</v>
      </c>
      <c r="D29" s="28" t="e">
        <f t="shared" si="5"/>
        <v>#REF!</v>
      </c>
      <c r="E29" s="28" t="e">
        <f t="shared" si="5"/>
        <v>#REF!</v>
      </c>
      <c r="F29" s="28" t="e">
        <f t="shared" si="5"/>
        <v>#REF!</v>
      </c>
      <c r="G29" s="28" t="e">
        <f t="shared" si="5"/>
        <v>#REF!</v>
      </c>
    </row>
    <row r="30" spans="2:7" x14ac:dyDescent="0.2">
      <c r="C30" s="27"/>
      <c r="D30" s="27"/>
      <c r="E30" s="27"/>
      <c r="F30" s="27"/>
      <c r="G30" s="27"/>
    </row>
    <row r="31" spans="2:7" s="29" customFormat="1" x14ac:dyDescent="0.2">
      <c r="F31" s="30"/>
    </row>
    <row r="32" spans="2:7" s="29" customFormat="1" x14ac:dyDescent="0.2">
      <c r="F32" s="30"/>
    </row>
    <row r="33" spans="3:7" s="29" customFormat="1" x14ac:dyDescent="0.2">
      <c r="C33" s="30"/>
      <c r="D33" s="30"/>
      <c r="E33" s="30"/>
      <c r="F33" s="30"/>
      <c r="G33" s="30"/>
    </row>
    <row r="34" spans="3:7" s="29" customFormat="1" x14ac:dyDescent="0.2">
      <c r="C34" s="30"/>
      <c r="D34" s="30"/>
      <c r="E34" s="30"/>
      <c r="F34" s="30"/>
      <c r="G34" s="30"/>
    </row>
    <row r="35" spans="3:7" s="29" customFormat="1" x14ac:dyDescent="0.2">
      <c r="C35" s="31"/>
      <c r="D35" s="31"/>
      <c r="E35" s="31"/>
      <c r="F35" s="31"/>
      <c r="G35" s="31"/>
    </row>
    <row r="36" spans="3:7" s="29" customFormat="1" x14ac:dyDescent="0.2">
      <c r="C36" s="31"/>
      <c r="D36" s="31"/>
      <c r="E36" s="31"/>
      <c r="F36" s="31"/>
      <c r="G36" s="31"/>
    </row>
  </sheetData>
  <sheetProtection pivotTables="0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&amp;A&amp;RPage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I40"/>
  <sheetViews>
    <sheetView zoomScaleNormal="100" workbookViewId="0">
      <selection activeCell="C4" sqref="C4"/>
    </sheetView>
  </sheetViews>
  <sheetFormatPr baseColWidth="10" defaultColWidth="10.85546875" defaultRowHeight="12" x14ac:dyDescent="0.2"/>
  <cols>
    <col min="1" max="1" width="24.5703125" style="2" customWidth="1"/>
    <col min="2" max="2" width="17.7109375" style="2" bestFit="1" customWidth="1"/>
    <col min="3" max="3" width="11.5703125" style="2" customWidth="1"/>
    <col min="4" max="4" width="11.140625" style="2" customWidth="1"/>
    <col min="5" max="5" width="12.42578125" style="2" customWidth="1"/>
    <col min="6" max="6" width="10.28515625" style="2" customWidth="1"/>
    <col min="7" max="7" width="3.5703125" style="2" customWidth="1"/>
    <col min="8" max="8" width="6.42578125" style="2" customWidth="1"/>
    <col min="9" max="9" width="15" style="2" bestFit="1" customWidth="1"/>
    <col min="10" max="10" width="10.85546875" style="2" customWidth="1"/>
    <col min="11" max="16384" width="10.85546875" style="2"/>
  </cols>
  <sheetData>
    <row r="1" spans="1:9" ht="12.75" thickBot="1" x14ac:dyDescent="0.25">
      <c r="A1" s="1" t="s">
        <v>19</v>
      </c>
    </row>
    <row r="2" spans="1:9" ht="13.5" thickBot="1" x14ac:dyDescent="0.25">
      <c r="A2" s="3" t="s">
        <v>43</v>
      </c>
      <c r="B2" s="4">
        <v>80</v>
      </c>
    </row>
    <row r="4" spans="1:9" x14ac:dyDescent="0.2"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H4" s="2" t="s">
        <v>25</v>
      </c>
      <c r="I4" s="2" t="s">
        <v>26</v>
      </c>
    </row>
    <row r="5" spans="1:9" x14ac:dyDescent="0.2">
      <c r="A5" s="2" t="s">
        <v>102</v>
      </c>
      <c r="B5" s="35" t="e">
        <f>#REF!*$B$2</f>
        <v>#REF!</v>
      </c>
      <c r="C5" s="35" t="e">
        <f>#REF!*$B$2</f>
        <v>#REF!</v>
      </c>
      <c r="D5" s="35"/>
      <c r="E5" s="36"/>
      <c r="F5" s="37"/>
      <c r="H5" s="5">
        <f>COUNT(B5:F5)</f>
        <v>0</v>
      </c>
      <c r="I5" s="6" t="str">
        <f>IF(H5=0,"",DEVSQ(B5:F5))</f>
        <v/>
      </c>
    </row>
    <row r="6" spans="1:9" x14ac:dyDescent="0.2">
      <c r="A6" s="2" t="s">
        <v>103</v>
      </c>
      <c r="B6" s="35"/>
      <c r="C6" s="35"/>
      <c r="D6" s="35"/>
      <c r="E6" s="36"/>
      <c r="F6" s="37"/>
      <c r="H6" s="5"/>
      <c r="I6" s="6"/>
    </row>
    <row r="7" spans="1:9" x14ac:dyDescent="0.2">
      <c r="A7" s="2" t="s">
        <v>104</v>
      </c>
      <c r="B7" s="35" t="e">
        <f>#REF!*$B$2</f>
        <v>#REF!</v>
      </c>
      <c r="C7" s="35" t="e">
        <f>#REF!*$B$2</f>
        <v>#REF!</v>
      </c>
      <c r="D7" s="35"/>
      <c r="E7" s="36"/>
      <c r="F7" s="37"/>
      <c r="H7" s="5">
        <f>COUNT(B7:F7)</f>
        <v>0</v>
      </c>
      <c r="I7" s="6" t="str">
        <f>IF(H7=0,"",DEVSQ(B7:F7))</f>
        <v/>
      </c>
    </row>
    <row r="8" spans="1:9" x14ac:dyDescent="0.2">
      <c r="A8" s="2" t="s">
        <v>105</v>
      </c>
      <c r="B8" s="35" t="e">
        <f>#REF!*$B$2</f>
        <v>#REF!</v>
      </c>
      <c r="C8" s="35" t="e">
        <f>#REF!*$B$2</f>
        <v>#REF!</v>
      </c>
      <c r="D8" s="36"/>
      <c r="E8" s="36"/>
      <c r="F8" s="37"/>
      <c r="H8" s="5">
        <f>COUNT(B8:F8)</f>
        <v>0</v>
      </c>
      <c r="I8" s="6" t="str">
        <f>IF(H8=0,"",DEVSQ(B8:F8))</f>
        <v/>
      </c>
    </row>
    <row r="9" spans="1:9" x14ac:dyDescent="0.2">
      <c r="A9" s="2" t="s">
        <v>106</v>
      </c>
      <c r="B9" s="35" t="e">
        <f>#REF!*$B$2</f>
        <v>#REF!</v>
      </c>
      <c r="C9" s="35" t="e">
        <f>#REF!*$B$2</f>
        <v>#REF!</v>
      </c>
      <c r="D9" s="36"/>
      <c r="E9" s="36"/>
      <c r="F9" s="37"/>
      <c r="H9" s="5">
        <f>COUNT(B9:F9)</f>
        <v>0</v>
      </c>
      <c r="I9" s="6" t="str">
        <f>IF(H9=0,"",DEVSQ(B9:F9))</f>
        <v/>
      </c>
    </row>
    <row r="10" spans="1:9" s="3" customFormat="1" ht="12.75" x14ac:dyDescent="0.2"/>
    <row r="11" spans="1:9" x14ac:dyDescent="0.2">
      <c r="A11" s="2" t="s">
        <v>107</v>
      </c>
      <c r="B11" s="2">
        <f>COUNT(B5:B9)</f>
        <v>0</v>
      </c>
      <c r="C11" s="7"/>
    </row>
    <row r="12" spans="1:9" x14ac:dyDescent="0.2">
      <c r="A12" s="2" t="s">
        <v>108</v>
      </c>
      <c r="B12" s="2">
        <f>COUNT(B5:F9)</f>
        <v>0</v>
      </c>
      <c r="C12" s="7"/>
    </row>
    <row r="13" spans="1:9" x14ac:dyDescent="0.2">
      <c r="A13" s="2" t="s">
        <v>109</v>
      </c>
      <c r="B13" s="2">
        <f>IF(H5*B11&lt;&gt;B12,"Calcul impossible",H5)</f>
        <v>0</v>
      </c>
      <c r="C13" s="7"/>
    </row>
    <row r="14" spans="1:9" x14ac:dyDescent="0.2">
      <c r="A14" s="2" t="s">
        <v>110</v>
      </c>
      <c r="B14" s="8">
        <f>SUM(I5:I9)</f>
        <v>0</v>
      </c>
      <c r="C14" s="7"/>
    </row>
    <row r="15" spans="1:9" x14ac:dyDescent="0.2">
      <c r="A15" s="2" t="s">
        <v>111</v>
      </c>
      <c r="B15" s="8" t="e">
        <f>DEVSQ(B5:F9)</f>
        <v>#REF!</v>
      </c>
      <c r="C15" s="7"/>
    </row>
    <row r="16" spans="1:9" x14ac:dyDescent="0.2">
      <c r="A16" s="2" t="s">
        <v>112</v>
      </c>
      <c r="B16" s="8" t="e">
        <f>B15-B14</f>
        <v>#REF!</v>
      </c>
      <c r="C16" s="7"/>
    </row>
    <row r="17" spans="1:9" x14ac:dyDescent="0.2">
      <c r="A17" s="2" t="s">
        <v>113</v>
      </c>
      <c r="B17" s="8" t="e">
        <f>((B16/(B11-1))-B18)/B13</f>
        <v>#REF!</v>
      </c>
      <c r="C17" s="7"/>
    </row>
    <row r="18" spans="1:9" x14ac:dyDescent="0.2">
      <c r="A18" s="2" t="s">
        <v>114</v>
      </c>
      <c r="B18" s="8" t="e">
        <f>B14/(B12-B11)</f>
        <v>#DIV/0!</v>
      </c>
      <c r="C18" s="7"/>
    </row>
    <row r="19" spans="1:9" x14ac:dyDescent="0.2">
      <c r="A19" s="2" t="s">
        <v>115</v>
      </c>
      <c r="B19" s="8" t="e">
        <f>IF(B17&lt;0,0,B17)</f>
        <v>#REF!</v>
      </c>
      <c r="C19" s="7"/>
    </row>
    <row r="20" spans="1:9" x14ac:dyDescent="0.2">
      <c r="A20" s="2" t="s">
        <v>116</v>
      </c>
      <c r="B20" s="8" t="e">
        <f>SUM(B18:B19)</f>
        <v>#DIV/0!</v>
      </c>
      <c r="C20" s="7"/>
    </row>
    <row r="21" spans="1:9" s="3" customFormat="1" ht="12.75" x14ac:dyDescent="0.2">
      <c r="A21" s="3" t="s">
        <v>80</v>
      </c>
    </row>
    <row r="22" spans="1:9" x14ac:dyDescent="0.2">
      <c r="A22" s="2" t="s">
        <v>44</v>
      </c>
      <c r="B22" s="8" t="e">
        <f>AVERAGE(B5:F9)</f>
        <v>#REF!</v>
      </c>
      <c r="C22" s="7"/>
    </row>
    <row r="23" spans="1:9" ht="12" customHeight="1" x14ac:dyDescent="0.2">
      <c r="A23" s="2" t="s">
        <v>45</v>
      </c>
      <c r="B23" s="8" t="e">
        <f>SQRT(B18)</f>
        <v>#DIV/0!</v>
      </c>
      <c r="C23" s="7"/>
    </row>
    <row r="24" spans="1:9" x14ac:dyDescent="0.2">
      <c r="A24" s="2" t="s">
        <v>46</v>
      </c>
      <c r="B24" s="8" t="e">
        <f>SQRT(B19)</f>
        <v>#REF!</v>
      </c>
      <c r="C24" s="7"/>
    </row>
    <row r="25" spans="1:9" x14ac:dyDescent="0.2">
      <c r="A25" s="2" t="s">
        <v>47</v>
      </c>
      <c r="B25" s="8" t="e">
        <f>SQRT(B20)</f>
        <v>#DIV/0!</v>
      </c>
      <c r="C25" s="7"/>
    </row>
    <row r="26" spans="1:9" s="3" customFormat="1" ht="12.75" x14ac:dyDescent="0.2">
      <c r="A26" s="3" t="s">
        <v>81</v>
      </c>
    </row>
    <row r="27" spans="1:9" ht="15" x14ac:dyDescent="0.25">
      <c r="A27" s="2" t="s">
        <v>53</v>
      </c>
      <c r="B27" s="9" t="e">
        <f>B22/B2-1</f>
        <v>#REF!</v>
      </c>
      <c r="C27" s="7"/>
    </row>
    <row r="28" spans="1:9" s="3" customFormat="1" ht="12.75" x14ac:dyDescent="0.2">
      <c r="A28" s="3" t="s">
        <v>117</v>
      </c>
    </row>
    <row r="29" spans="1:9" x14ac:dyDescent="0.2">
      <c r="A29" s="2" t="s">
        <v>48</v>
      </c>
      <c r="B29" s="8" t="e">
        <f>B19/B18</f>
        <v>#REF!</v>
      </c>
      <c r="C29" s="7"/>
    </row>
    <row r="30" spans="1:9" x14ac:dyDescent="0.2">
      <c r="A30" s="2" t="s">
        <v>118</v>
      </c>
      <c r="B30" s="8" t="e">
        <f>(B29+1)/(B13*B29+1)</f>
        <v>#REF!</v>
      </c>
      <c r="C30" s="7"/>
    </row>
    <row r="31" spans="1:9" x14ac:dyDescent="0.2">
      <c r="A31" s="2" t="s">
        <v>49</v>
      </c>
      <c r="B31" s="8" t="e">
        <f>SQRT(1+1/(B12*B30))</f>
        <v>#REF!</v>
      </c>
      <c r="C31" s="7"/>
    </row>
    <row r="32" spans="1:9" x14ac:dyDescent="0.2">
      <c r="A32" s="2" t="s">
        <v>50</v>
      </c>
      <c r="B32" s="8" t="e">
        <f>(B29+1)^2/((B29+1/B13)^2/(B11-1)+(1-1/B13)/B12)</f>
        <v>#REF!</v>
      </c>
      <c r="C32" s="7"/>
      <c r="I32" s="6"/>
    </row>
    <row r="33" spans="1:3" x14ac:dyDescent="0.2">
      <c r="A33" s="2" t="s">
        <v>32</v>
      </c>
      <c r="B33" s="8" t="e">
        <f>Récapitulatif!C2</f>
        <v>#REF!</v>
      </c>
      <c r="C33" s="7"/>
    </row>
    <row r="34" spans="1:3" x14ac:dyDescent="0.2">
      <c r="A34" s="2" t="s">
        <v>119</v>
      </c>
      <c r="B34" s="8" t="e">
        <f>TINV(1-B33,ROUNDDOWN(B32,0))</f>
        <v>#REF!</v>
      </c>
      <c r="C34" s="7"/>
    </row>
    <row r="35" spans="1:3" x14ac:dyDescent="0.2">
      <c r="A35" s="2" t="s">
        <v>120</v>
      </c>
      <c r="B35" s="8" t="e">
        <f>TINV(1-B33,ROUNDUP(B32,0))</f>
        <v>#REF!</v>
      </c>
      <c r="C35" s="7"/>
    </row>
    <row r="36" spans="1:3" x14ac:dyDescent="0.2">
      <c r="A36" s="2" t="s">
        <v>121</v>
      </c>
      <c r="B36" s="8" t="e">
        <f>B34-(B34-B35)*(B32-ROUNDDOWN(B32,0))</f>
        <v>#REF!</v>
      </c>
      <c r="C36" s="7"/>
    </row>
    <row r="37" spans="1:3" x14ac:dyDescent="0.2">
      <c r="A37" s="2" t="s">
        <v>122</v>
      </c>
      <c r="B37" s="8" t="e">
        <f>B36*B31</f>
        <v>#REF!</v>
      </c>
      <c r="C37" s="7"/>
    </row>
    <row r="38" spans="1:3" s="3" customFormat="1" ht="12.75" x14ac:dyDescent="0.2">
      <c r="A38" s="3" t="s">
        <v>123</v>
      </c>
    </row>
    <row r="39" spans="1:3" x14ac:dyDescent="0.2">
      <c r="A39" s="2" t="s">
        <v>51</v>
      </c>
      <c r="B39" s="8" t="e">
        <f>B22-B37*B25</f>
        <v>#REF!</v>
      </c>
      <c r="C39" s="7"/>
    </row>
    <row r="40" spans="1:3" x14ac:dyDescent="0.2">
      <c r="A40" s="2" t="s">
        <v>52</v>
      </c>
      <c r="B40" s="8" t="e">
        <f>B22+B37*B25</f>
        <v>#REF!</v>
      </c>
      <c r="C40" s="7"/>
    </row>
  </sheetData>
  <sheetProtection pivotTables="0"/>
  <printOptions headings="1" gridLines="1"/>
  <pageMargins left="0.78740157499999996" right="0.78740157499999996" top="0.49" bottom="0.76" header="0.28000000000000003" footer="0.4921259845"/>
  <pageSetup paperSize="9" orientation="landscape" horizontalDpi="300" verticalDpi="300" r:id="rId1"/>
  <headerFooter alignWithMargins="0">
    <oddFooter>&amp;A&amp;RPage &amp;P</oddFooter>
  </headerFooter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I40"/>
  <sheetViews>
    <sheetView zoomScaleNormal="100" workbookViewId="0">
      <selection activeCell="C4" sqref="C4"/>
    </sheetView>
  </sheetViews>
  <sheetFormatPr baseColWidth="10" defaultColWidth="10.85546875" defaultRowHeight="12" x14ac:dyDescent="0.2"/>
  <cols>
    <col min="1" max="1" width="24.5703125" style="2" customWidth="1"/>
    <col min="2" max="2" width="11.28515625" style="2" customWidth="1"/>
    <col min="3" max="4" width="11.28515625" style="2" bestFit="1" customWidth="1"/>
    <col min="5" max="6" width="10.28515625" style="2" customWidth="1"/>
    <col min="7" max="7" width="3.5703125" style="2" customWidth="1"/>
    <col min="8" max="8" width="6.42578125" style="2" customWidth="1"/>
    <col min="9" max="9" width="11.5703125" style="2" customWidth="1"/>
    <col min="10" max="10" width="10.85546875" style="2" customWidth="1"/>
    <col min="11" max="16384" width="10.85546875" style="2"/>
  </cols>
  <sheetData>
    <row r="1" spans="1:9" ht="13.5" thickBot="1" x14ac:dyDescent="0.25">
      <c r="A1" s="10" t="s">
        <v>27</v>
      </c>
    </row>
    <row r="2" spans="1:9" ht="13.5" thickBot="1" x14ac:dyDescent="0.25">
      <c r="A2" s="3" t="s">
        <v>43</v>
      </c>
      <c r="B2" s="11">
        <v>90</v>
      </c>
    </row>
    <row r="4" spans="1:9" x14ac:dyDescent="0.2"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H4" s="2" t="s">
        <v>25</v>
      </c>
      <c r="I4" s="2" t="s">
        <v>26</v>
      </c>
    </row>
    <row r="5" spans="1:9" x14ac:dyDescent="0.2">
      <c r="A5" s="2" t="s">
        <v>102</v>
      </c>
      <c r="B5" s="36" t="e">
        <f>#REF!*$B$2</f>
        <v>#REF!</v>
      </c>
      <c r="C5" s="36" t="e">
        <f>#REF!*$B$2</f>
        <v>#REF!</v>
      </c>
      <c r="D5" s="36"/>
      <c r="E5" s="36"/>
      <c r="F5" s="37"/>
      <c r="H5" s="5">
        <f>COUNT(B5:F5)</f>
        <v>0</v>
      </c>
      <c r="I5" s="6" t="str">
        <f>IF(H5=0,"",DEVSQ(B5:F5))</f>
        <v/>
      </c>
    </row>
    <row r="6" spans="1:9" x14ac:dyDescent="0.2">
      <c r="A6" s="2" t="s">
        <v>103</v>
      </c>
      <c r="B6" s="36" t="e">
        <f>#REF!*$B$2</f>
        <v>#REF!</v>
      </c>
      <c r="C6" s="36" t="e">
        <f>#REF!*$B$2</f>
        <v>#REF!</v>
      </c>
      <c r="D6" s="36"/>
      <c r="E6" s="36"/>
      <c r="F6" s="37"/>
      <c r="H6" s="5">
        <f>COUNT(B6:F6)</f>
        <v>0</v>
      </c>
      <c r="I6" s="6" t="str">
        <f>IF(H6=0,"",DEVSQ(B6:F6))</f>
        <v/>
      </c>
    </row>
    <row r="7" spans="1:9" x14ac:dyDescent="0.2">
      <c r="A7" s="2" t="s">
        <v>104</v>
      </c>
      <c r="B7" s="36"/>
      <c r="C7" s="36"/>
      <c r="D7" s="36"/>
      <c r="E7" s="36"/>
      <c r="F7" s="37"/>
      <c r="H7" s="5"/>
      <c r="I7" s="6" t="str">
        <f>IF(H7=0,"",DEVSQ(B7:F7))</f>
        <v/>
      </c>
    </row>
    <row r="8" spans="1:9" x14ac:dyDescent="0.2">
      <c r="A8" s="2" t="s">
        <v>105</v>
      </c>
      <c r="B8" s="36" t="e">
        <f>#REF!*$B$2</f>
        <v>#REF!</v>
      </c>
      <c r="C8" s="36" t="e">
        <f>#REF!*$B$2</f>
        <v>#REF!</v>
      </c>
      <c r="D8" s="36"/>
      <c r="E8" s="36"/>
      <c r="F8" s="37"/>
      <c r="H8" s="5">
        <f>COUNT(B8:F8)</f>
        <v>0</v>
      </c>
      <c r="I8" s="6" t="str">
        <f>IF(H8=0,"",DEVSQ(B8:F8))</f>
        <v/>
      </c>
    </row>
    <row r="9" spans="1:9" x14ac:dyDescent="0.2">
      <c r="A9" s="2" t="s">
        <v>106</v>
      </c>
      <c r="B9" s="36" t="e">
        <f>#REF!*$B$2</f>
        <v>#REF!</v>
      </c>
      <c r="C9" s="36" t="e">
        <f>#REF!*$B$2</f>
        <v>#REF!</v>
      </c>
      <c r="D9" s="36"/>
      <c r="E9" s="36"/>
      <c r="F9" s="37"/>
      <c r="H9" s="5">
        <f>COUNT(B9:F9)</f>
        <v>0</v>
      </c>
      <c r="I9" s="6" t="str">
        <f>IF(H9=0,"",DEVSQ(B9:F9))</f>
        <v/>
      </c>
    </row>
    <row r="10" spans="1:9" s="3" customFormat="1" ht="12.75" x14ac:dyDescent="0.2"/>
    <row r="11" spans="1:9" x14ac:dyDescent="0.2">
      <c r="A11" s="2" t="s">
        <v>107</v>
      </c>
      <c r="B11" s="2">
        <f>COUNT(B5:B9)</f>
        <v>0</v>
      </c>
      <c r="C11" s="7"/>
    </row>
    <row r="12" spans="1:9" x14ac:dyDescent="0.2">
      <c r="A12" s="2" t="s">
        <v>108</v>
      </c>
      <c r="B12" s="2">
        <f>COUNT(B5:F9)</f>
        <v>0</v>
      </c>
      <c r="C12" s="7"/>
    </row>
    <row r="13" spans="1:9" x14ac:dyDescent="0.2">
      <c r="A13" s="2" t="s">
        <v>109</v>
      </c>
      <c r="B13" s="2">
        <f>IF(H5*B11&lt;&gt;B12,"Calcul impossible",H5)</f>
        <v>0</v>
      </c>
      <c r="C13" s="7"/>
    </row>
    <row r="14" spans="1:9" x14ac:dyDescent="0.2">
      <c r="A14" s="2" t="s">
        <v>110</v>
      </c>
      <c r="B14" s="12">
        <f>SUM(I5:I9)</f>
        <v>0</v>
      </c>
      <c r="C14" s="7"/>
    </row>
    <row r="15" spans="1:9" x14ac:dyDescent="0.2">
      <c r="A15" s="2" t="s">
        <v>111</v>
      </c>
      <c r="B15" s="12" t="e">
        <f>DEVSQ(B5:F9)</f>
        <v>#REF!</v>
      </c>
      <c r="C15" s="7"/>
    </row>
    <row r="16" spans="1:9" x14ac:dyDescent="0.2">
      <c r="A16" s="2" t="s">
        <v>112</v>
      </c>
      <c r="B16" s="12" t="e">
        <f>B15-B14</f>
        <v>#REF!</v>
      </c>
      <c r="C16" s="7"/>
    </row>
    <row r="17" spans="1:9" x14ac:dyDescent="0.2">
      <c r="A17" s="2" t="s">
        <v>113</v>
      </c>
      <c r="B17" s="12" t="e">
        <f>((B16/(B11-1))-B18)/B13</f>
        <v>#REF!</v>
      </c>
      <c r="C17" s="7"/>
    </row>
    <row r="18" spans="1:9" x14ac:dyDescent="0.2">
      <c r="A18" s="2" t="s">
        <v>114</v>
      </c>
      <c r="B18" s="12" t="e">
        <f>B14/(B12-B11)</f>
        <v>#DIV/0!</v>
      </c>
      <c r="C18" s="7"/>
    </row>
    <row r="19" spans="1:9" x14ac:dyDescent="0.2">
      <c r="A19" s="2" t="s">
        <v>115</v>
      </c>
      <c r="B19" s="12" t="e">
        <f>IF(B17&lt;0,0,B17)</f>
        <v>#REF!</v>
      </c>
      <c r="C19" s="7"/>
    </row>
    <row r="20" spans="1:9" x14ac:dyDescent="0.2">
      <c r="A20" s="2" t="s">
        <v>116</v>
      </c>
      <c r="B20" s="12" t="e">
        <f>SUM(B18:B19)</f>
        <v>#DIV/0!</v>
      </c>
      <c r="C20" s="7"/>
    </row>
    <row r="21" spans="1:9" s="3" customFormat="1" ht="12.75" x14ac:dyDescent="0.2">
      <c r="A21" s="3" t="s">
        <v>80</v>
      </c>
    </row>
    <row r="22" spans="1:9" x14ac:dyDescent="0.2">
      <c r="A22" s="2" t="s">
        <v>44</v>
      </c>
      <c r="B22" s="12" t="e">
        <f>AVERAGE(B5:F9)</f>
        <v>#REF!</v>
      </c>
      <c r="C22" s="7"/>
    </row>
    <row r="23" spans="1:9" ht="12" customHeight="1" x14ac:dyDescent="0.2">
      <c r="A23" s="2" t="s">
        <v>45</v>
      </c>
      <c r="B23" s="12" t="e">
        <f>SQRT(B18)</f>
        <v>#DIV/0!</v>
      </c>
      <c r="C23" s="7"/>
    </row>
    <row r="24" spans="1:9" x14ac:dyDescent="0.2">
      <c r="A24" s="2" t="s">
        <v>46</v>
      </c>
      <c r="B24" s="12" t="e">
        <f>SQRT(B19)</f>
        <v>#REF!</v>
      </c>
      <c r="C24" s="7"/>
    </row>
    <row r="25" spans="1:9" x14ac:dyDescent="0.2">
      <c r="A25" s="2" t="s">
        <v>47</v>
      </c>
      <c r="B25" s="12" t="e">
        <f>SQRT(B20)</f>
        <v>#DIV/0!</v>
      </c>
      <c r="C25" s="7"/>
    </row>
    <row r="26" spans="1:9" s="3" customFormat="1" ht="12.75" x14ac:dyDescent="0.2">
      <c r="A26" s="3" t="s">
        <v>81</v>
      </c>
    </row>
    <row r="27" spans="1:9" ht="15" x14ac:dyDescent="0.25">
      <c r="A27" s="2" t="s">
        <v>53</v>
      </c>
      <c r="B27" s="9" t="e">
        <f>B22/B2-1</f>
        <v>#REF!</v>
      </c>
      <c r="C27" s="7"/>
    </row>
    <row r="28" spans="1:9" s="3" customFormat="1" ht="12.75" x14ac:dyDescent="0.2">
      <c r="A28" s="3" t="s">
        <v>117</v>
      </c>
    </row>
    <row r="29" spans="1:9" x14ac:dyDescent="0.2">
      <c r="A29" s="2" t="s">
        <v>48</v>
      </c>
      <c r="B29" s="6" t="e">
        <f>B19/B18</f>
        <v>#REF!</v>
      </c>
      <c r="C29" s="7"/>
    </row>
    <row r="30" spans="1:9" x14ac:dyDescent="0.2">
      <c r="A30" s="2" t="s">
        <v>118</v>
      </c>
      <c r="B30" s="6" t="e">
        <f>(B29+1)/(B13*B29+1)</f>
        <v>#REF!</v>
      </c>
      <c r="C30" s="7"/>
    </row>
    <row r="31" spans="1:9" x14ac:dyDescent="0.2">
      <c r="A31" s="2" t="s">
        <v>49</v>
      </c>
      <c r="B31" s="6" t="e">
        <f>SQRT(1+1/(B12*B30))</f>
        <v>#REF!</v>
      </c>
      <c r="C31" s="7"/>
    </row>
    <row r="32" spans="1:9" x14ac:dyDescent="0.2">
      <c r="A32" s="2" t="s">
        <v>50</v>
      </c>
      <c r="B32" s="6" t="e">
        <f>(B29+1)^2/((B29+1/B13)^2/(B11-1)+(1-1/B13)/B12)</f>
        <v>#REF!</v>
      </c>
      <c r="C32" s="7"/>
      <c r="I32" s="6"/>
    </row>
    <row r="33" spans="1:3" x14ac:dyDescent="0.2">
      <c r="A33" s="2" t="s">
        <v>32</v>
      </c>
      <c r="B33" s="6" t="e">
        <f>Récapitulatif!C2</f>
        <v>#REF!</v>
      </c>
      <c r="C33" s="7"/>
    </row>
    <row r="34" spans="1:3" x14ac:dyDescent="0.2">
      <c r="A34" s="2" t="s">
        <v>119</v>
      </c>
      <c r="B34" s="6" t="e">
        <f>TINV(1-B33,ROUNDDOWN(B32,0))</f>
        <v>#REF!</v>
      </c>
      <c r="C34" s="7"/>
    </row>
    <row r="35" spans="1:3" x14ac:dyDescent="0.2">
      <c r="A35" s="2" t="s">
        <v>120</v>
      </c>
      <c r="B35" s="6" t="e">
        <f>TINV(1-B33,ROUNDUP(B32,0))</f>
        <v>#REF!</v>
      </c>
      <c r="C35" s="7"/>
    </row>
    <row r="36" spans="1:3" x14ac:dyDescent="0.2">
      <c r="A36" s="2" t="s">
        <v>121</v>
      </c>
      <c r="B36" s="6" t="e">
        <f>B34-(B34-B35)*(B32-ROUNDDOWN(B32,0))</f>
        <v>#REF!</v>
      </c>
      <c r="C36" s="7"/>
    </row>
    <row r="37" spans="1:3" x14ac:dyDescent="0.2">
      <c r="A37" s="2" t="s">
        <v>122</v>
      </c>
      <c r="B37" s="6" t="e">
        <f>B36*B31</f>
        <v>#REF!</v>
      </c>
      <c r="C37" s="7"/>
    </row>
    <row r="38" spans="1:3" s="3" customFormat="1" ht="12.75" x14ac:dyDescent="0.2">
      <c r="A38" s="3" t="s">
        <v>123</v>
      </c>
    </row>
    <row r="39" spans="1:3" x14ac:dyDescent="0.2">
      <c r="A39" s="2" t="s">
        <v>51</v>
      </c>
      <c r="B39" s="6" t="e">
        <f>B22-B37*B25</f>
        <v>#REF!</v>
      </c>
      <c r="C39" s="7"/>
    </row>
    <row r="40" spans="1:3" x14ac:dyDescent="0.2">
      <c r="A40" s="2" t="s">
        <v>52</v>
      </c>
      <c r="B40" s="6" t="e">
        <f>B22+B37*B25</f>
        <v>#REF!</v>
      </c>
      <c r="C40" s="7"/>
    </row>
  </sheetData>
  <sheetProtection pivotTables="0"/>
  <printOptions headings="1" gridLines="1"/>
  <pageMargins left="0.78740157499999996" right="0.78740157499999996" top="0.54" bottom="0.56999999999999995" header="0.32" footer="0.34"/>
  <pageSetup paperSize="9" scale="96" orientation="landscape" horizontalDpi="300" verticalDpi="300" r:id="rId1"/>
  <headerFooter alignWithMargins="0"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I40"/>
  <sheetViews>
    <sheetView zoomScaleNormal="100" workbookViewId="0">
      <selection activeCell="C4" sqref="C4"/>
    </sheetView>
  </sheetViews>
  <sheetFormatPr baseColWidth="10" defaultColWidth="10.85546875" defaultRowHeight="12" x14ac:dyDescent="0.2"/>
  <cols>
    <col min="1" max="1" width="24.5703125" style="2" customWidth="1"/>
    <col min="2" max="2" width="11.28515625" style="2" customWidth="1"/>
    <col min="3" max="4" width="11.28515625" style="2" bestFit="1" customWidth="1"/>
    <col min="5" max="6" width="10.28515625" style="2" customWidth="1"/>
    <col min="7" max="7" width="3.5703125" style="2" customWidth="1"/>
    <col min="8" max="8" width="6.42578125" style="2" customWidth="1"/>
    <col min="9" max="9" width="11.5703125" style="2" customWidth="1"/>
    <col min="10" max="10" width="10.85546875" style="2" customWidth="1"/>
    <col min="11" max="16384" width="10.85546875" style="2"/>
  </cols>
  <sheetData>
    <row r="1" spans="1:9" ht="13.5" thickBot="1" x14ac:dyDescent="0.25">
      <c r="A1" s="10" t="s">
        <v>28</v>
      </c>
    </row>
    <row r="2" spans="1:9" ht="13.5" thickBot="1" x14ac:dyDescent="0.25">
      <c r="A2" s="3" t="s">
        <v>43</v>
      </c>
      <c r="B2" s="4">
        <v>100</v>
      </c>
    </row>
    <row r="4" spans="1:9" x14ac:dyDescent="0.2"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H4" s="2" t="s">
        <v>25</v>
      </c>
      <c r="I4" s="2" t="s">
        <v>26</v>
      </c>
    </row>
    <row r="5" spans="1:9" x14ac:dyDescent="0.2">
      <c r="A5" s="2" t="s">
        <v>102</v>
      </c>
      <c r="B5" s="36" t="e">
        <f>#REF!*$B$2</f>
        <v>#REF!</v>
      </c>
      <c r="C5" s="36" t="e">
        <f>#REF!*$B$2</f>
        <v>#REF!</v>
      </c>
      <c r="D5" s="36"/>
      <c r="E5" s="36"/>
      <c r="F5" s="37"/>
      <c r="H5" s="5">
        <f>COUNT(B5:F5)</f>
        <v>0</v>
      </c>
      <c r="I5" s="6" t="str">
        <f>IF(H5=0,"",DEVSQ(B5:F5))</f>
        <v/>
      </c>
    </row>
    <row r="6" spans="1:9" x14ac:dyDescent="0.2">
      <c r="A6" s="2" t="s">
        <v>103</v>
      </c>
      <c r="B6" s="36" t="e">
        <f>#REF!*$B$2</f>
        <v>#REF!</v>
      </c>
      <c r="C6" s="36" t="e">
        <f>#REF!*$B$2</f>
        <v>#REF!</v>
      </c>
      <c r="D6" s="36"/>
      <c r="E6" s="36"/>
      <c r="F6" s="37"/>
      <c r="H6" s="5">
        <f>COUNT(B6:F6)</f>
        <v>0</v>
      </c>
      <c r="I6" s="6" t="str">
        <f>IF(H6=0,"",DEVSQ(B6:F6))</f>
        <v/>
      </c>
    </row>
    <row r="7" spans="1:9" x14ac:dyDescent="0.2">
      <c r="A7" s="2" t="s">
        <v>104</v>
      </c>
      <c r="B7" s="36" t="e">
        <f>#REF!*$B$2</f>
        <v>#REF!</v>
      </c>
      <c r="C7" s="36" t="e">
        <f>#REF!*$B$2</f>
        <v>#REF!</v>
      </c>
      <c r="D7" s="36"/>
      <c r="E7" s="36"/>
      <c r="F7" s="37"/>
      <c r="H7" s="5">
        <f>COUNT(B7:F7)</f>
        <v>0</v>
      </c>
      <c r="I7" s="6" t="str">
        <f>IF(H7=0,"",DEVSQ(B7:F7))</f>
        <v/>
      </c>
    </row>
    <row r="8" spans="1:9" x14ac:dyDescent="0.2">
      <c r="A8" s="2" t="s">
        <v>105</v>
      </c>
      <c r="B8" s="36"/>
      <c r="C8" s="36"/>
      <c r="D8" s="36"/>
      <c r="E8" s="36"/>
      <c r="F8" s="37"/>
      <c r="H8" s="5"/>
      <c r="I8" s="6" t="str">
        <f>IF(H8=0,"",DEVSQ(B8:F8))</f>
        <v/>
      </c>
    </row>
    <row r="9" spans="1:9" x14ac:dyDescent="0.2">
      <c r="A9" s="2" t="s">
        <v>106</v>
      </c>
      <c r="B9" s="36" t="e">
        <f>#REF!*$B$2</f>
        <v>#REF!</v>
      </c>
      <c r="C9" s="36" t="e">
        <f>#REF!*$B$2</f>
        <v>#REF!</v>
      </c>
      <c r="D9" s="36"/>
      <c r="E9" s="36"/>
      <c r="F9" s="37"/>
      <c r="H9" s="5">
        <f>COUNT(B9:F9)</f>
        <v>0</v>
      </c>
      <c r="I9" s="6" t="str">
        <f>IF(H9=0,"",DEVSQ(B9:F9))</f>
        <v/>
      </c>
    </row>
    <row r="10" spans="1:9" s="3" customFormat="1" ht="12.75" x14ac:dyDescent="0.2"/>
    <row r="11" spans="1:9" x14ac:dyDescent="0.2">
      <c r="A11" s="2" t="s">
        <v>107</v>
      </c>
      <c r="B11" s="2">
        <f>COUNT(B5:B9)</f>
        <v>0</v>
      </c>
      <c r="C11" s="7"/>
    </row>
    <row r="12" spans="1:9" x14ac:dyDescent="0.2">
      <c r="A12" s="2" t="s">
        <v>108</v>
      </c>
      <c r="B12" s="2">
        <f>COUNT(B5:F9)</f>
        <v>0</v>
      </c>
      <c r="C12" s="7"/>
    </row>
    <row r="13" spans="1:9" x14ac:dyDescent="0.2">
      <c r="A13" s="2" t="s">
        <v>109</v>
      </c>
      <c r="B13" s="2">
        <f>IF(H5*B11&lt;&gt;B12,"Calcul impossible",H5)</f>
        <v>0</v>
      </c>
      <c r="C13" s="7"/>
    </row>
    <row r="14" spans="1:9" x14ac:dyDescent="0.2">
      <c r="A14" s="2" t="s">
        <v>110</v>
      </c>
      <c r="B14" s="12">
        <f>SUM(I5:I9)</f>
        <v>0</v>
      </c>
      <c r="C14" s="7"/>
    </row>
    <row r="15" spans="1:9" x14ac:dyDescent="0.2">
      <c r="A15" s="2" t="s">
        <v>111</v>
      </c>
      <c r="B15" s="12" t="e">
        <f>DEVSQ(B5:F9)</f>
        <v>#REF!</v>
      </c>
      <c r="C15" s="7"/>
    </row>
    <row r="16" spans="1:9" x14ac:dyDescent="0.2">
      <c r="A16" s="2" t="s">
        <v>112</v>
      </c>
      <c r="B16" s="12" t="e">
        <f>B15-B14</f>
        <v>#REF!</v>
      </c>
      <c r="C16" s="7"/>
    </row>
    <row r="17" spans="1:9" x14ac:dyDescent="0.2">
      <c r="A17" s="2" t="s">
        <v>113</v>
      </c>
      <c r="B17" s="12" t="e">
        <f>((B16/(B11-1))-B18)/B13</f>
        <v>#REF!</v>
      </c>
      <c r="C17" s="7"/>
    </row>
    <row r="18" spans="1:9" x14ac:dyDescent="0.2">
      <c r="A18" s="2" t="s">
        <v>114</v>
      </c>
      <c r="B18" s="12" t="e">
        <f>B14/(B12-B11)</f>
        <v>#DIV/0!</v>
      </c>
      <c r="C18" s="7"/>
    </row>
    <row r="19" spans="1:9" x14ac:dyDescent="0.2">
      <c r="A19" s="2" t="s">
        <v>115</v>
      </c>
      <c r="B19" s="12" t="e">
        <f>IF(B17&lt;0,0,B17)</f>
        <v>#REF!</v>
      </c>
      <c r="C19" s="7"/>
    </row>
    <row r="20" spans="1:9" x14ac:dyDescent="0.2">
      <c r="A20" s="2" t="s">
        <v>116</v>
      </c>
      <c r="B20" s="12" t="e">
        <f>SUM(B18:B19)</f>
        <v>#DIV/0!</v>
      </c>
      <c r="C20" s="7"/>
    </row>
    <row r="21" spans="1:9" s="3" customFormat="1" ht="12.75" x14ac:dyDescent="0.2">
      <c r="A21" s="3" t="s">
        <v>80</v>
      </c>
    </row>
    <row r="22" spans="1:9" x14ac:dyDescent="0.2">
      <c r="A22" s="2" t="s">
        <v>44</v>
      </c>
      <c r="B22" s="12" t="e">
        <f>AVERAGE(B5:F9)</f>
        <v>#REF!</v>
      </c>
      <c r="C22" s="7"/>
    </row>
    <row r="23" spans="1:9" ht="12" customHeight="1" x14ac:dyDescent="0.2">
      <c r="A23" s="2" t="s">
        <v>45</v>
      </c>
      <c r="B23" s="12" t="e">
        <f>SQRT(B18)</f>
        <v>#DIV/0!</v>
      </c>
      <c r="C23" s="7"/>
    </row>
    <row r="24" spans="1:9" x14ac:dyDescent="0.2">
      <c r="A24" s="2" t="s">
        <v>46</v>
      </c>
      <c r="B24" s="12" t="e">
        <f>SQRT(B19)</f>
        <v>#REF!</v>
      </c>
      <c r="C24" s="7"/>
    </row>
    <row r="25" spans="1:9" x14ac:dyDescent="0.2">
      <c r="A25" s="2" t="s">
        <v>47</v>
      </c>
      <c r="B25" s="12" t="e">
        <f>SQRT(B20)</f>
        <v>#DIV/0!</v>
      </c>
      <c r="C25" s="7"/>
    </row>
    <row r="26" spans="1:9" s="3" customFormat="1" ht="12.75" x14ac:dyDescent="0.2">
      <c r="A26" s="3" t="s">
        <v>81</v>
      </c>
    </row>
    <row r="27" spans="1:9" ht="15" x14ac:dyDescent="0.25">
      <c r="A27" s="2" t="s">
        <v>53</v>
      </c>
      <c r="B27" s="9" t="e">
        <f>B22/B2-1</f>
        <v>#REF!</v>
      </c>
      <c r="C27" s="7"/>
    </row>
    <row r="28" spans="1:9" s="3" customFormat="1" ht="12.75" x14ac:dyDescent="0.2">
      <c r="A28" s="3" t="s">
        <v>117</v>
      </c>
    </row>
    <row r="29" spans="1:9" x14ac:dyDescent="0.2">
      <c r="A29" s="2" t="s">
        <v>48</v>
      </c>
      <c r="B29" s="6" t="e">
        <f>B19/B18</f>
        <v>#REF!</v>
      </c>
      <c r="C29" s="7"/>
    </row>
    <row r="30" spans="1:9" x14ac:dyDescent="0.2">
      <c r="A30" s="2" t="s">
        <v>118</v>
      </c>
      <c r="B30" s="6" t="e">
        <f>(B29+1)/(B13*B29+1)</f>
        <v>#REF!</v>
      </c>
      <c r="C30" s="7"/>
    </row>
    <row r="31" spans="1:9" x14ac:dyDescent="0.2">
      <c r="A31" s="2" t="s">
        <v>49</v>
      </c>
      <c r="B31" s="6" t="e">
        <f>SQRT(1+1/(B12*B30))</f>
        <v>#REF!</v>
      </c>
      <c r="C31" s="7"/>
    </row>
    <row r="32" spans="1:9" x14ac:dyDescent="0.2">
      <c r="A32" s="2" t="s">
        <v>50</v>
      </c>
      <c r="B32" s="6" t="e">
        <f>(B29+1)^2/((B29+1/B13)^2/(B11-1)+(1-1/B13)/B12)</f>
        <v>#REF!</v>
      </c>
      <c r="C32" s="7"/>
      <c r="I32" s="6"/>
    </row>
    <row r="33" spans="1:3" x14ac:dyDescent="0.2">
      <c r="A33" s="2" t="s">
        <v>32</v>
      </c>
      <c r="B33" s="6" t="e">
        <f>Récapitulatif!C2</f>
        <v>#REF!</v>
      </c>
      <c r="C33" s="7"/>
    </row>
    <row r="34" spans="1:3" x14ac:dyDescent="0.2">
      <c r="A34" s="2" t="s">
        <v>119</v>
      </c>
      <c r="B34" s="6" t="e">
        <f>TINV(1-B33,ROUNDDOWN(B32,0))</f>
        <v>#REF!</v>
      </c>
      <c r="C34" s="7"/>
    </row>
    <row r="35" spans="1:3" x14ac:dyDescent="0.2">
      <c r="A35" s="2" t="s">
        <v>120</v>
      </c>
      <c r="B35" s="6" t="e">
        <f>TINV(1-B33,ROUNDUP(B32,0))</f>
        <v>#REF!</v>
      </c>
      <c r="C35" s="7"/>
    </row>
    <row r="36" spans="1:3" x14ac:dyDescent="0.2">
      <c r="A36" s="2" t="s">
        <v>121</v>
      </c>
      <c r="B36" s="6" t="e">
        <f>B34-(B34-B35)*(B32-ROUNDDOWN(B32,0))</f>
        <v>#REF!</v>
      </c>
      <c r="C36" s="7"/>
    </row>
    <row r="37" spans="1:3" x14ac:dyDescent="0.2">
      <c r="A37" s="2" t="s">
        <v>122</v>
      </c>
      <c r="B37" s="6" t="e">
        <f>B36*B31</f>
        <v>#REF!</v>
      </c>
      <c r="C37" s="7"/>
    </row>
    <row r="38" spans="1:3" s="3" customFormat="1" ht="12.75" x14ac:dyDescent="0.2">
      <c r="A38" s="3" t="s">
        <v>123</v>
      </c>
    </row>
    <row r="39" spans="1:3" x14ac:dyDescent="0.2">
      <c r="A39" s="2" t="s">
        <v>51</v>
      </c>
      <c r="B39" s="6" t="e">
        <f>B22-B37*B25</f>
        <v>#REF!</v>
      </c>
      <c r="C39" s="7"/>
    </row>
    <row r="40" spans="1:3" x14ac:dyDescent="0.2">
      <c r="A40" s="2" t="s">
        <v>52</v>
      </c>
      <c r="B40" s="6" t="e">
        <f>B22+B37*B25</f>
        <v>#REF!</v>
      </c>
      <c r="C40" s="7"/>
    </row>
  </sheetData>
  <sheetProtection selectLockedCells="1" pivotTables="0"/>
  <printOptions headings="1" gridLines="1"/>
  <pageMargins left="0.78740157499999996" right="0.78740157499999996" top="0.56999999999999995" bottom="0.56999999999999995" header="0.33" footer="0.34"/>
  <pageSetup paperSize="9" scale="96" orientation="landscape" horizontalDpi="300" verticalDpi="300" r:id="rId1"/>
  <headerFooter alignWithMargins="0"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I40"/>
  <sheetViews>
    <sheetView zoomScaleNormal="100" workbookViewId="0">
      <selection activeCell="C4" sqref="C4"/>
    </sheetView>
  </sheetViews>
  <sheetFormatPr baseColWidth="10" defaultColWidth="10.85546875" defaultRowHeight="12" x14ac:dyDescent="0.2"/>
  <cols>
    <col min="1" max="1" width="24.5703125" style="2" customWidth="1"/>
    <col min="2" max="2" width="11.28515625" style="2" customWidth="1"/>
    <col min="3" max="4" width="11.28515625" style="2" bestFit="1" customWidth="1"/>
    <col min="5" max="6" width="10.28515625" style="2" customWidth="1"/>
    <col min="7" max="7" width="3.5703125" style="2" customWidth="1"/>
    <col min="8" max="8" width="6.42578125" style="2" customWidth="1"/>
    <col min="9" max="9" width="11.5703125" style="2" customWidth="1"/>
    <col min="10" max="10" width="10.85546875" style="2" customWidth="1"/>
    <col min="11" max="16384" width="10.85546875" style="2"/>
  </cols>
  <sheetData>
    <row r="1" spans="1:9" ht="13.5" thickBot="1" x14ac:dyDescent="0.25">
      <c r="A1" s="10" t="s">
        <v>29</v>
      </c>
    </row>
    <row r="2" spans="1:9" ht="13.5" thickBot="1" x14ac:dyDescent="0.25">
      <c r="A2" s="3" t="s">
        <v>43</v>
      </c>
      <c r="B2" s="4">
        <v>110</v>
      </c>
    </row>
    <row r="4" spans="1:9" x14ac:dyDescent="0.2"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H4" s="2" t="s">
        <v>25</v>
      </c>
      <c r="I4" s="2" t="s">
        <v>26</v>
      </c>
    </row>
    <row r="5" spans="1:9" x14ac:dyDescent="0.2">
      <c r="A5" s="2" t="s">
        <v>102</v>
      </c>
      <c r="B5" s="36" t="e">
        <f>#REF!*$B$2</f>
        <v>#REF!</v>
      </c>
      <c r="C5" s="36" t="e">
        <f>#REF!*$B$2</f>
        <v>#REF!</v>
      </c>
      <c r="D5" s="36"/>
      <c r="E5" s="36"/>
      <c r="F5" s="37"/>
      <c r="H5" s="5">
        <f>COUNT(B5:F5)</f>
        <v>0</v>
      </c>
      <c r="I5" s="6" t="str">
        <f>IF(H5=0,"",DEVSQ(B5:F5))</f>
        <v/>
      </c>
    </row>
    <row r="6" spans="1:9" x14ac:dyDescent="0.2">
      <c r="A6" s="2" t="s">
        <v>103</v>
      </c>
      <c r="B6" s="36" t="e">
        <f>#REF!*$B$2</f>
        <v>#REF!</v>
      </c>
      <c r="C6" s="36" t="e">
        <f>#REF!*$B$2</f>
        <v>#REF!</v>
      </c>
      <c r="D6" s="36"/>
      <c r="E6" s="36"/>
      <c r="F6" s="37"/>
      <c r="H6" s="5">
        <f>COUNT(B6:F6)</f>
        <v>0</v>
      </c>
      <c r="I6" s="6" t="str">
        <f>IF(H6=0,"",DEVSQ(B6:F6))</f>
        <v/>
      </c>
    </row>
    <row r="7" spans="1:9" x14ac:dyDescent="0.2">
      <c r="A7" s="2" t="s">
        <v>104</v>
      </c>
      <c r="B7" s="36" t="e">
        <f>#REF!*$B$2</f>
        <v>#REF!</v>
      </c>
      <c r="C7" s="36" t="e">
        <f>#REF!*$B$2</f>
        <v>#REF!</v>
      </c>
      <c r="D7" s="36"/>
      <c r="E7" s="36"/>
      <c r="F7" s="37"/>
      <c r="H7" s="5">
        <f>COUNT(B7:F7)</f>
        <v>0</v>
      </c>
      <c r="I7" s="6" t="str">
        <f>IF(H7=0,"",DEVSQ(B7:F7))</f>
        <v/>
      </c>
    </row>
    <row r="8" spans="1:9" x14ac:dyDescent="0.2">
      <c r="A8" s="2" t="s">
        <v>105</v>
      </c>
      <c r="B8" s="36" t="e">
        <f>#REF!*$B$2</f>
        <v>#REF!</v>
      </c>
      <c r="C8" s="36" t="e">
        <f>#REF!*$B$2</f>
        <v>#REF!</v>
      </c>
      <c r="D8" s="36"/>
      <c r="E8" s="36"/>
      <c r="F8" s="37"/>
      <c r="H8" s="5">
        <f>COUNT(B8:F8)</f>
        <v>0</v>
      </c>
      <c r="I8" s="6" t="str">
        <f>IF(H8=0,"",DEVSQ(B8:F8))</f>
        <v/>
      </c>
    </row>
    <row r="9" spans="1:9" x14ac:dyDescent="0.2">
      <c r="A9" s="2" t="s">
        <v>106</v>
      </c>
      <c r="B9" s="36"/>
      <c r="C9" s="36"/>
      <c r="D9" s="36"/>
      <c r="E9" s="36"/>
      <c r="F9" s="37"/>
      <c r="H9" s="5"/>
      <c r="I9" s="6" t="str">
        <f>IF(H9=0,"",DEVSQ(B9:F9))</f>
        <v/>
      </c>
    </row>
    <row r="10" spans="1:9" s="3" customFormat="1" ht="12.75" x14ac:dyDescent="0.2"/>
    <row r="11" spans="1:9" x14ac:dyDescent="0.2">
      <c r="A11" s="2" t="s">
        <v>107</v>
      </c>
      <c r="B11" s="2">
        <f>COUNT(B5:B9)</f>
        <v>0</v>
      </c>
      <c r="C11" s="7"/>
    </row>
    <row r="12" spans="1:9" x14ac:dyDescent="0.2">
      <c r="A12" s="2" t="s">
        <v>108</v>
      </c>
      <c r="B12" s="2">
        <f>COUNT(B5:F9)</f>
        <v>0</v>
      </c>
      <c r="C12" s="7"/>
    </row>
    <row r="13" spans="1:9" x14ac:dyDescent="0.2">
      <c r="A13" s="2" t="s">
        <v>109</v>
      </c>
      <c r="B13" s="2">
        <f>IF(H5*B11&lt;&gt;B12,"Calcul impossible",H5)</f>
        <v>0</v>
      </c>
      <c r="C13" s="7"/>
    </row>
    <row r="14" spans="1:9" x14ac:dyDescent="0.2">
      <c r="A14" s="2" t="s">
        <v>110</v>
      </c>
      <c r="B14" s="12">
        <f>SUM(I5:I9)</f>
        <v>0</v>
      </c>
      <c r="C14" s="7"/>
    </row>
    <row r="15" spans="1:9" x14ac:dyDescent="0.2">
      <c r="A15" s="2" t="s">
        <v>111</v>
      </c>
      <c r="B15" s="12" t="e">
        <f>DEVSQ(B5:F9)</f>
        <v>#REF!</v>
      </c>
      <c r="C15" s="7"/>
    </row>
    <row r="16" spans="1:9" x14ac:dyDescent="0.2">
      <c r="A16" s="2" t="s">
        <v>112</v>
      </c>
      <c r="B16" s="12" t="e">
        <f>B15-B14</f>
        <v>#REF!</v>
      </c>
      <c r="C16" s="7"/>
    </row>
    <row r="17" spans="1:9" x14ac:dyDescent="0.2">
      <c r="A17" s="2" t="s">
        <v>113</v>
      </c>
      <c r="B17" s="12" t="e">
        <f>((B16/(B11-1))-B18)/B13</f>
        <v>#REF!</v>
      </c>
      <c r="C17" s="7"/>
    </row>
    <row r="18" spans="1:9" x14ac:dyDescent="0.2">
      <c r="A18" s="2" t="s">
        <v>114</v>
      </c>
      <c r="B18" s="12" t="e">
        <f>B14/(B12-B11)</f>
        <v>#DIV/0!</v>
      </c>
      <c r="C18" s="7"/>
    </row>
    <row r="19" spans="1:9" x14ac:dyDescent="0.2">
      <c r="A19" s="2" t="s">
        <v>115</v>
      </c>
      <c r="B19" s="12" t="e">
        <f>IF(B17&lt;0,0,B17)</f>
        <v>#REF!</v>
      </c>
      <c r="C19" s="7"/>
    </row>
    <row r="20" spans="1:9" x14ac:dyDescent="0.2">
      <c r="A20" s="2" t="s">
        <v>116</v>
      </c>
      <c r="B20" s="12" t="e">
        <f>SUM(B18:B19)</f>
        <v>#DIV/0!</v>
      </c>
      <c r="C20" s="7"/>
    </row>
    <row r="21" spans="1:9" s="3" customFormat="1" ht="12.75" x14ac:dyDescent="0.2">
      <c r="A21" s="3" t="s">
        <v>80</v>
      </c>
    </row>
    <row r="22" spans="1:9" x14ac:dyDescent="0.2">
      <c r="A22" s="2" t="s">
        <v>44</v>
      </c>
      <c r="B22" s="12" t="e">
        <f>AVERAGE(B5:F9)</f>
        <v>#REF!</v>
      </c>
      <c r="C22" s="7"/>
    </row>
    <row r="23" spans="1:9" ht="12" customHeight="1" x14ac:dyDescent="0.2">
      <c r="A23" s="2" t="s">
        <v>45</v>
      </c>
      <c r="B23" s="12" t="e">
        <f>SQRT(B18)</f>
        <v>#DIV/0!</v>
      </c>
      <c r="C23" s="7"/>
    </row>
    <row r="24" spans="1:9" x14ac:dyDescent="0.2">
      <c r="A24" s="2" t="s">
        <v>46</v>
      </c>
      <c r="B24" s="12" t="e">
        <f>SQRT(B19)</f>
        <v>#REF!</v>
      </c>
      <c r="C24" s="7"/>
    </row>
    <row r="25" spans="1:9" x14ac:dyDescent="0.2">
      <c r="A25" s="2" t="s">
        <v>47</v>
      </c>
      <c r="B25" s="12" t="e">
        <f>SQRT(B20)</f>
        <v>#DIV/0!</v>
      </c>
      <c r="C25" s="7"/>
    </row>
    <row r="26" spans="1:9" s="3" customFormat="1" ht="12.75" x14ac:dyDescent="0.2">
      <c r="A26" s="3" t="s">
        <v>81</v>
      </c>
    </row>
    <row r="27" spans="1:9" ht="15" x14ac:dyDescent="0.25">
      <c r="A27" s="2" t="s">
        <v>53</v>
      </c>
      <c r="B27" s="9" t="e">
        <f>B22/B2-1</f>
        <v>#REF!</v>
      </c>
      <c r="C27" s="7"/>
    </row>
    <row r="28" spans="1:9" s="3" customFormat="1" ht="12.75" x14ac:dyDescent="0.2">
      <c r="A28" s="3" t="s">
        <v>117</v>
      </c>
    </row>
    <row r="29" spans="1:9" x14ac:dyDescent="0.2">
      <c r="A29" s="2" t="s">
        <v>48</v>
      </c>
      <c r="B29" s="6" t="e">
        <f>B19/B18</f>
        <v>#REF!</v>
      </c>
      <c r="C29" s="7"/>
    </row>
    <row r="30" spans="1:9" x14ac:dyDescent="0.2">
      <c r="A30" s="2" t="s">
        <v>118</v>
      </c>
      <c r="B30" s="6" t="e">
        <f>(B29+1)/(B13*B29+1)</f>
        <v>#REF!</v>
      </c>
      <c r="C30" s="7"/>
    </row>
    <row r="31" spans="1:9" x14ac:dyDescent="0.2">
      <c r="A31" s="2" t="s">
        <v>49</v>
      </c>
      <c r="B31" s="6" t="e">
        <f>SQRT(1+1/(B12*B30))</f>
        <v>#REF!</v>
      </c>
      <c r="C31" s="7"/>
    </row>
    <row r="32" spans="1:9" x14ac:dyDescent="0.2">
      <c r="A32" s="2" t="s">
        <v>50</v>
      </c>
      <c r="B32" s="6" t="e">
        <f>(B29+1)^2/((B29+1/B13)^2/(B11-1)+(1-1/B13)/B12)</f>
        <v>#REF!</v>
      </c>
      <c r="C32" s="7"/>
      <c r="I32" s="6"/>
    </row>
    <row r="33" spans="1:3" x14ac:dyDescent="0.2">
      <c r="A33" s="2" t="s">
        <v>32</v>
      </c>
      <c r="B33" s="6" t="e">
        <f>Récapitulatif!C2</f>
        <v>#REF!</v>
      </c>
      <c r="C33" s="7"/>
    </row>
    <row r="34" spans="1:3" x14ac:dyDescent="0.2">
      <c r="A34" s="2" t="s">
        <v>119</v>
      </c>
      <c r="B34" s="6" t="e">
        <f>TINV(1-B33,ROUNDDOWN(B32,0))</f>
        <v>#REF!</v>
      </c>
      <c r="C34" s="7"/>
    </row>
    <row r="35" spans="1:3" x14ac:dyDescent="0.2">
      <c r="A35" s="2" t="s">
        <v>120</v>
      </c>
      <c r="B35" s="6" t="e">
        <f>TINV(1-B33,ROUNDUP(B32,0))</f>
        <v>#REF!</v>
      </c>
      <c r="C35" s="7"/>
    </row>
    <row r="36" spans="1:3" x14ac:dyDescent="0.2">
      <c r="A36" s="2" t="s">
        <v>121</v>
      </c>
      <c r="B36" s="6" t="e">
        <f>B34-(B34-B35)*(B32-ROUNDDOWN(B32,0))</f>
        <v>#REF!</v>
      </c>
      <c r="C36" s="7"/>
    </row>
    <row r="37" spans="1:3" x14ac:dyDescent="0.2">
      <c r="A37" s="2" t="s">
        <v>122</v>
      </c>
      <c r="B37" s="6" t="e">
        <f>B36*B31</f>
        <v>#REF!</v>
      </c>
      <c r="C37" s="7"/>
    </row>
    <row r="38" spans="1:3" s="3" customFormat="1" ht="12.75" x14ac:dyDescent="0.2">
      <c r="A38" s="3" t="s">
        <v>123</v>
      </c>
    </row>
    <row r="39" spans="1:3" x14ac:dyDescent="0.2">
      <c r="A39" s="2" t="s">
        <v>51</v>
      </c>
      <c r="B39" s="6" t="e">
        <f>B22-B37*B25</f>
        <v>#REF!</v>
      </c>
      <c r="C39" s="7"/>
    </row>
    <row r="40" spans="1:3" x14ac:dyDescent="0.2">
      <c r="A40" s="2" t="s">
        <v>52</v>
      </c>
      <c r="B40" s="6" t="e">
        <f>B22+B37*B25</f>
        <v>#REF!</v>
      </c>
      <c r="C40" s="7"/>
    </row>
  </sheetData>
  <sheetProtection selectLockedCells="1" pivotTables="0"/>
  <printOptions headings="1" gridLines="1"/>
  <pageMargins left="0.78740157499999996" right="0.78740157499999996" top="0.56999999999999995" bottom="0.56999999999999995" header="0.33" footer="0.34"/>
  <pageSetup paperSize="9" scale="96" orientation="landscape" horizontalDpi="300" verticalDpi="300" r:id="rId1"/>
  <headerFooter alignWithMargins="0">
    <oddFooter>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I40"/>
  <sheetViews>
    <sheetView zoomScaleNormal="100" workbookViewId="0">
      <selection activeCell="C4" sqref="C4"/>
    </sheetView>
  </sheetViews>
  <sheetFormatPr baseColWidth="10" defaultColWidth="10.85546875" defaultRowHeight="12" x14ac:dyDescent="0.2"/>
  <cols>
    <col min="1" max="1" width="24.5703125" style="2" customWidth="1"/>
    <col min="2" max="2" width="11.28515625" style="2" customWidth="1"/>
    <col min="3" max="3" width="10.85546875" style="2" customWidth="1"/>
    <col min="4" max="4" width="12.140625" style="2" bestFit="1" customWidth="1"/>
    <col min="5" max="6" width="10.28515625" style="2" customWidth="1"/>
    <col min="7" max="7" width="3.5703125" style="2" customWidth="1"/>
    <col min="8" max="8" width="6.42578125" style="2" customWidth="1"/>
    <col min="9" max="9" width="11.5703125" style="2" customWidth="1"/>
    <col min="10" max="10" width="10.85546875" style="2" customWidth="1"/>
    <col min="11" max="16384" width="10.85546875" style="2"/>
  </cols>
  <sheetData>
    <row r="1" spans="1:9" ht="13.5" thickBot="1" x14ac:dyDescent="0.25">
      <c r="A1" s="10" t="s">
        <v>30</v>
      </c>
    </row>
    <row r="2" spans="1:9" ht="13.5" thickBot="1" x14ac:dyDescent="0.25">
      <c r="A2" s="3" t="s">
        <v>43</v>
      </c>
      <c r="B2" s="4">
        <v>120</v>
      </c>
    </row>
    <row r="4" spans="1:9" x14ac:dyDescent="0.2"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H4" s="2" t="s">
        <v>25</v>
      </c>
      <c r="I4" s="2" t="s">
        <v>26</v>
      </c>
    </row>
    <row r="5" spans="1:9" x14ac:dyDescent="0.2">
      <c r="A5" s="2" t="s">
        <v>102</v>
      </c>
      <c r="B5" s="36"/>
      <c r="C5" s="36"/>
      <c r="D5" s="36"/>
      <c r="E5" s="37"/>
      <c r="F5" s="37"/>
      <c r="H5" s="5"/>
      <c r="I5" s="6"/>
    </row>
    <row r="6" spans="1:9" x14ac:dyDescent="0.2">
      <c r="A6" s="2" t="s">
        <v>103</v>
      </c>
      <c r="B6" s="36" t="e">
        <f>#REF!*$B$2</f>
        <v>#REF!</v>
      </c>
      <c r="C6" s="36" t="e">
        <f>#REF!*$B$2</f>
        <v>#REF!</v>
      </c>
      <c r="D6" s="36"/>
      <c r="E6" s="37"/>
      <c r="F6" s="37"/>
      <c r="H6" s="5">
        <f>COUNT(B6:F6)</f>
        <v>0</v>
      </c>
      <c r="I6" s="6" t="str">
        <f>IF(H6=0,"",DEVSQ(B6:F6))</f>
        <v/>
      </c>
    </row>
    <row r="7" spans="1:9" x14ac:dyDescent="0.2">
      <c r="A7" s="2" t="s">
        <v>104</v>
      </c>
      <c r="B7" s="36" t="e">
        <f>#REF!*$B$2</f>
        <v>#REF!</v>
      </c>
      <c r="C7" s="36" t="e">
        <f>#REF!*$B$2</f>
        <v>#REF!</v>
      </c>
      <c r="D7" s="36"/>
      <c r="E7" s="37"/>
      <c r="F7" s="37"/>
      <c r="H7" s="5">
        <f>COUNT(B7:F7)</f>
        <v>0</v>
      </c>
      <c r="I7" s="6" t="str">
        <f>IF(H7=0,"",DEVSQ(B7:F7))</f>
        <v/>
      </c>
    </row>
    <row r="8" spans="1:9" x14ac:dyDescent="0.2">
      <c r="A8" s="2" t="s">
        <v>105</v>
      </c>
      <c r="B8" s="36" t="e">
        <f>#REF!*$B$2</f>
        <v>#REF!</v>
      </c>
      <c r="C8" s="36" t="e">
        <f>#REF!*$B$2</f>
        <v>#REF!</v>
      </c>
      <c r="D8" s="37"/>
      <c r="E8" s="37"/>
      <c r="F8" s="37"/>
      <c r="H8" s="5">
        <f t="shared" ref="H8:H9" si="0">COUNT(B8:F8)</f>
        <v>0</v>
      </c>
      <c r="I8" s="6" t="str">
        <f t="shared" ref="I8:I9" si="1">IF(H8=0,"",DEVSQ(B8:F8))</f>
        <v/>
      </c>
    </row>
    <row r="9" spans="1:9" x14ac:dyDescent="0.2">
      <c r="A9" s="2" t="s">
        <v>106</v>
      </c>
      <c r="B9" s="36" t="e">
        <f>#REF!*$B$2</f>
        <v>#REF!</v>
      </c>
      <c r="C9" s="36" t="e">
        <f>#REF!*$B$2</f>
        <v>#REF!</v>
      </c>
      <c r="D9" s="37"/>
      <c r="E9" s="37"/>
      <c r="F9" s="37"/>
      <c r="H9" s="5">
        <f t="shared" si="0"/>
        <v>0</v>
      </c>
      <c r="I9" s="6" t="str">
        <f t="shared" si="1"/>
        <v/>
      </c>
    </row>
    <row r="10" spans="1:9" s="3" customFormat="1" ht="12.75" x14ac:dyDescent="0.2"/>
    <row r="11" spans="1:9" x14ac:dyDescent="0.2">
      <c r="A11" s="2" t="s">
        <v>107</v>
      </c>
      <c r="B11" s="2">
        <f>COUNT(B5:B9)</f>
        <v>0</v>
      </c>
      <c r="C11" s="7"/>
    </row>
    <row r="12" spans="1:9" x14ac:dyDescent="0.2">
      <c r="A12" s="2" t="s">
        <v>108</v>
      </c>
      <c r="B12" s="2">
        <f>COUNT(B5:F9)</f>
        <v>0</v>
      </c>
      <c r="C12" s="7"/>
    </row>
    <row r="13" spans="1:9" x14ac:dyDescent="0.2">
      <c r="A13" s="2" t="s">
        <v>109</v>
      </c>
      <c r="B13" s="2">
        <f>IF(H6*B11&lt;&gt;B12,"Calcul impossible",H6)</f>
        <v>0</v>
      </c>
      <c r="C13" s="7"/>
    </row>
    <row r="14" spans="1:9" x14ac:dyDescent="0.2">
      <c r="A14" s="2" t="s">
        <v>110</v>
      </c>
      <c r="B14" s="12">
        <f>SUM(I5:I9)</f>
        <v>0</v>
      </c>
      <c r="C14" s="7"/>
    </row>
    <row r="15" spans="1:9" x14ac:dyDescent="0.2">
      <c r="A15" s="2" t="s">
        <v>111</v>
      </c>
      <c r="B15" s="12" t="e">
        <f>DEVSQ(B5:F9)</f>
        <v>#REF!</v>
      </c>
      <c r="C15" s="7"/>
    </row>
    <row r="16" spans="1:9" x14ac:dyDescent="0.2">
      <c r="A16" s="2" t="s">
        <v>112</v>
      </c>
      <c r="B16" s="12" t="e">
        <f>B15-B14</f>
        <v>#REF!</v>
      </c>
      <c r="C16" s="7"/>
    </row>
    <row r="17" spans="1:9" x14ac:dyDescent="0.2">
      <c r="A17" s="2" t="s">
        <v>113</v>
      </c>
      <c r="B17" s="12" t="e">
        <f>((B16/(B11-1))-B18)/B13</f>
        <v>#REF!</v>
      </c>
      <c r="C17" s="7"/>
    </row>
    <row r="18" spans="1:9" x14ac:dyDescent="0.2">
      <c r="A18" s="2" t="s">
        <v>114</v>
      </c>
      <c r="B18" s="12" t="e">
        <f>B14/(B12-B11)</f>
        <v>#DIV/0!</v>
      </c>
      <c r="C18" s="7"/>
    </row>
    <row r="19" spans="1:9" x14ac:dyDescent="0.2">
      <c r="A19" s="2" t="s">
        <v>115</v>
      </c>
      <c r="B19" s="12" t="e">
        <f>IF(B17&lt;0,0,B17)</f>
        <v>#REF!</v>
      </c>
      <c r="C19" s="7"/>
    </row>
    <row r="20" spans="1:9" x14ac:dyDescent="0.2">
      <c r="A20" s="2" t="s">
        <v>116</v>
      </c>
      <c r="B20" s="12" t="e">
        <f>SUM(B18:B19)</f>
        <v>#DIV/0!</v>
      </c>
      <c r="C20" s="7"/>
    </row>
    <row r="21" spans="1:9" s="3" customFormat="1" ht="12.75" x14ac:dyDescent="0.2">
      <c r="A21" s="3" t="s">
        <v>80</v>
      </c>
    </row>
    <row r="22" spans="1:9" x14ac:dyDescent="0.2">
      <c r="A22" s="2" t="s">
        <v>44</v>
      </c>
      <c r="B22" s="12" t="e">
        <f>AVERAGE(B5:F9)</f>
        <v>#REF!</v>
      </c>
      <c r="C22" s="7"/>
    </row>
    <row r="23" spans="1:9" ht="12" customHeight="1" x14ac:dyDescent="0.2">
      <c r="A23" s="2" t="s">
        <v>45</v>
      </c>
      <c r="B23" s="12" t="e">
        <f>SQRT(B18)</f>
        <v>#DIV/0!</v>
      </c>
      <c r="C23" s="7"/>
    </row>
    <row r="24" spans="1:9" x14ac:dyDescent="0.2">
      <c r="A24" s="2" t="s">
        <v>46</v>
      </c>
      <c r="B24" s="12" t="e">
        <f>SQRT(B19)</f>
        <v>#REF!</v>
      </c>
      <c r="C24" s="7"/>
    </row>
    <row r="25" spans="1:9" x14ac:dyDescent="0.2">
      <c r="A25" s="2" t="s">
        <v>47</v>
      </c>
      <c r="B25" s="12" t="e">
        <f>SQRT(B20)</f>
        <v>#DIV/0!</v>
      </c>
      <c r="C25" s="7"/>
    </row>
    <row r="26" spans="1:9" s="3" customFormat="1" ht="12.75" x14ac:dyDescent="0.2">
      <c r="A26" s="3" t="s">
        <v>81</v>
      </c>
    </row>
    <row r="27" spans="1:9" ht="15" x14ac:dyDescent="0.25">
      <c r="A27" s="2" t="s">
        <v>53</v>
      </c>
      <c r="B27" s="9" t="e">
        <f>B22/B2-1</f>
        <v>#REF!</v>
      </c>
      <c r="C27" s="7"/>
    </row>
    <row r="28" spans="1:9" s="3" customFormat="1" ht="12.75" x14ac:dyDescent="0.2">
      <c r="A28" s="3" t="s">
        <v>117</v>
      </c>
    </row>
    <row r="29" spans="1:9" x14ac:dyDescent="0.2">
      <c r="A29" s="2" t="s">
        <v>48</v>
      </c>
      <c r="B29" s="6" t="e">
        <f>B19/B18</f>
        <v>#REF!</v>
      </c>
      <c r="C29" s="7"/>
    </row>
    <row r="30" spans="1:9" x14ac:dyDescent="0.2">
      <c r="A30" s="2" t="s">
        <v>118</v>
      </c>
      <c r="B30" s="6" t="e">
        <f>(B29+1)/(B13*B29+1)</f>
        <v>#REF!</v>
      </c>
      <c r="C30" s="7"/>
    </row>
    <row r="31" spans="1:9" x14ac:dyDescent="0.2">
      <c r="A31" s="2" t="s">
        <v>49</v>
      </c>
      <c r="B31" s="6" t="e">
        <f>SQRT(1+1/(B12*B30))</f>
        <v>#REF!</v>
      </c>
      <c r="C31" s="7"/>
    </row>
    <row r="32" spans="1:9" x14ac:dyDescent="0.2">
      <c r="A32" s="2" t="s">
        <v>50</v>
      </c>
      <c r="B32" s="6" t="e">
        <f>(B29+1)^2/((B29+1/B13)^2/(B11-1)+(1-1/B13)/B12)</f>
        <v>#REF!</v>
      </c>
      <c r="C32" s="7"/>
      <c r="I32" s="6"/>
    </row>
    <row r="33" spans="1:3" x14ac:dyDescent="0.2">
      <c r="A33" s="2" t="s">
        <v>32</v>
      </c>
      <c r="B33" s="6" t="e">
        <f>Récapitulatif!C2</f>
        <v>#REF!</v>
      </c>
      <c r="C33" s="7"/>
    </row>
    <row r="34" spans="1:3" x14ac:dyDescent="0.2">
      <c r="A34" s="2" t="s">
        <v>119</v>
      </c>
      <c r="B34" s="6" t="e">
        <f>TINV(1-B33,ROUNDDOWN(B32,0))</f>
        <v>#REF!</v>
      </c>
      <c r="C34" s="7"/>
    </row>
    <row r="35" spans="1:3" x14ac:dyDescent="0.2">
      <c r="A35" s="2" t="s">
        <v>120</v>
      </c>
      <c r="B35" s="6" t="e">
        <f>TINV(1-B33,ROUNDUP(B32,0))</f>
        <v>#REF!</v>
      </c>
      <c r="C35" s="7"/>
    </row>
    <row r="36" spans="1:3" x14ac:dyDescent="0.2">
      <c r="A36" s="2" t="s">
        <v>121</v>
      </c>
      <c r="B36" s="6" t="e">
        <f>B34-(B34-B35)*(B32-ROUNDDOWN(B32,0))</f>
        <v>#REF!</v>
      </c>
      <c r="C36" s="7"/>
    </row>
    <row r="37" spans="1:3" x14ac:dyDescent="0.2">
      <c r="A37" s="2" t="s">
        <v>122</v>
      </c>
      <c r="B37" s="6" t="e">
        <f>B36*B31</f>
        <v>#REF!</v>
      </c>
      <c r="C37" s="7"/>
    </row>
    <row r="38" spans="1:3" s="3" customFormat="1" ht="12.75" x14ac:dyDescent="0.2">
      <c r="A38" s="3" t="s">
        <v>123</v>
      </c>
    </row>
    <row r="39" spans="1:3" x14ac:dyDescent="0.2">
      <c r="A39" s="2" t="s">
        <v>51</v>
      </c>
      <c r="B39" s="6" t="e">
        <f>B22-B37*B25</f>
        <v>#REF!</v>
      </c>
      <c r="C39" s="7"/>
    </row>
    <row r="40" spans="1:3" x14ac:dyDescent="0.2">
      <c r="A40" s="2" t="s">
        <v>52</v>
      </c>
      <c r="B40" s="6" t="e">
        <f>B22+B37*B25</f>
        <v>#REF!</v>
      </c>
      <c r="C40" s="7"/>
    </row>
  </sheetData>
  <sheetProtection pivotTables="0"/>
  <printOptions headings="1" gridLines="1"/>
  <pageMargins left="0.78740157499999996" right="0.78740157499999996" top="0.56999999999999995" bottom="0.56999999999999995" header="0.33" footer="0.34"/>
  <pageSetup paperSize="9" scale="96" orientation="landscape" horizontalDpi="300" verticalDpi="300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7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1F5N</vt:lpstr>
      <vt:lpstr>Récapitulatif</vt:lpstr>
      <vt:lpstr>80%</vt:lpstr>
      <vt:lpstr>90%</vt:lpstr>
      <vt:lpstr>100%</vt:lpstr>
      <vt:lpstr>110%</vt:lpstr>
      <vt:lpstr>120%</vt:lpstr>
      <vt:lpstr>Graph Profil</vt:lpstr>
      <vt:lpstr>'80%'!Zone_d_impression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germa</dc:creator>
  <cp:lastModifiedBy>morgan Germa Colliou</cp:lastModifiedBy>
  <dcterms:created xsi:type="dcterms:W3CDTF">2017-02-03T08:41:23Z</dcterms:created>
  <dcterms:modified xsi:type="dcterms:W3CDTF">2025-07-17T12:39:35Z</dcterms:modified>
</cp:coreProperties>
</file>